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mcbride\Desktop\"/>
    </mc:Choice>
  </mc:AlternateContent>
  <bookViews>
    <workbookView xWindow="0" yWindow="0" windowWidth="24000" windowHeight="8955"/>
  </bookViews>
  <sheets>
    <sheet name="Proposed Budget - G,DS, SN" sheetId="13" r:id="rId1"/>
    <sheet name="General" sheetId="5" r:id="rId2"/>
    <sheet name="Comparison" sheetId="1" r:id="rId3"/>
    <sheet name="Object" sheetId="3" r:id="rId4"/>
    <sheet name="PIC" sheetId="6" state="hidden" r:id="rId5"/>
    <sheet name="School Nutrition" sheetId="8" r:id="rId6"/>
    <sheet name="Debt Service Proposed" sheetId="12" r:id="rId7"/>
    <sheet name="Debt Service" sheetId="7" state="hidden" r:id="rId8"/>
    <sheet name="Sheet1" sheetId="9" state="hidden" r:id="rId9"/>
  </sheets>
  <externalReferences>
    <externalReference r:id="rId10"/>
  </externalReferences>
  <definedNames>
    <definedName name="_xlnm.Print_Area" localSheetId="2">Comparison!$A$1:$M$177</definedName>
    <definedName name="_xlnm.Print_Area" localSheetId="6">'Debt Service Proposed'!$A$1:$M$48</definedName>
    <definedName name="_xlnm.Print_Area" localSheetId="1">General!$A$1:$J$55</definedName>
    <definedName name="_xlnm.Print_Area" localSheetId="3">Object!$B$1:$P$41</definedName>
    <definedName name="_xlnm.Print_Area" localSheetId="4">PIC!$A$1:$O$22</definedName>
    <definedName name="_xlnm.Print_Area" localSheetId="5">'School Nutrition'!$A$1:$M$51</definedName>
    <definedName name="_xlnm.Print_Titles" localSheetId="2">Comparison!$1:$7</definedName>
    <definedName name="_xlnm.Print_Titles" localSheetId="6">'Debt Service Proposed'!$1:$7</definedName>
    <definedName name="_xlnm.Print_Titles" localSheetId="1">General!$1:$7</definedName>
    <definedName name="_xlnm.Print_Titles" localSheetId="5">'School Nutrition'!$1:$7</definedName>
  </definedNames>
  <calcPr calcId="162913" fullCalcOnLoad="1"/>
</workbook>
</file>

<file path=xl/calcChain.xml><?xml version="1.0" encoding="utf-8"?>
<calcChain xmlns="http://schemas.openxmlformats.org/spreadsheetml/2006/main">
  <c r="G19" i="8" l="1"/>
  <c r="G108" i="1"/>
  <c r="G18" i="1"/>
  <c r="Q103" i="1"/>
  <c r="Q95" i="1"/>
  <c r="Q79" i="1"/>
  <c r="Q71" i="1"/>
  <c r="Q63" i="1"/>
  <c r="F46" i="5"/>
  <c r="F45" i="5"/>
  <c r="F43" i="5"/>
  <c r="F42" i="5"/>
  <c r="D46" i="5"/>
  <c r="D45" i="5"/>
  <c r="D43" i="5"/>
  <c r="D42" i="5"/>
  <c r="D47" i="5"/>
  <c r="F47" i="5"/>
  <c r="H47" i="5"/>
  <c r="K179" i="1"/>
  <c r="I179" i="1"/>
  <c r="G179" i="1"/>
  <c r="C9" i="7"/>
  <c r="C13" i="7" s="1"/>
  <c r="C10" i="7"/>
  <c r="E13" i="7"/>
  <c r="F13" i="7"/>
  <c r="G13" i="7"/>
  <c r="H13" i="7"/>
  <c r="I13" i="7"/>
  <c r="J13" i="7"/>
  <c r="C32" i="7"/>
  <c r="C38" i="7" s="1"/>
  <c r="C33" i="7"/>
  <c r="E38" i="7"/>
  <c r="F38" i="7"/>
  <c r="G38" i="7"/>
  <c r="H38" i="7"/>
  <c r="I38" i="7"/>
  <c r="J38" i="7"/>
  <c r="E40" i="7"/>
  <c r="F40" i="7"/>
  <c r="G40" i="7"/>
  <c r="H40" i="7"/>
  <c r="I40" i="7"/>
  <c r="J40" i="7"/>
  <c r="E45" i="7"/>
  <c r="F45" i="7"/>
  <c r="G45" i="7"/>
  <c r="H45" i="7"/>
  <c r="I45" i="7"/>
  <c r="J45" i="7"/>
  <c r="E46" i="7"/>
  <c r="F46" i="7"/>
  <c r="G46" i="7"/>
  <c r="H46" i="7"/>
  <c r="I46" i="7"/>
  <c r="J46" i="7"/>
  <c r="F48" i="7"/>
  <c r="G48" i="7"/>
  <c r="H48" i="7"/>
  <c r="I48" i="7"/>
  <c r="J48" i="7"/>
  <c r="E50" i="7"/>
  <c r="F50" i="7"/>
  <c r="G50" i="7"/>
  <c r="H50" i="7"/>
  <c r="I50" i="7"/>
  <c r="J50" i="7"/>
  <c r="E54" i="7"/>
  <c r="F54" i="7"/>
  <c r="G54" i="7"/>
  <c r="H54" i="7"/>
  <c r="I54" i="7"/>
  <c r="J54" i="7"/>
  <c r="E56" i="7"/>
  <c r="F56" i="7"/>
  <c r="G56" i="7"/>
  <c r="H56" i="7"/>
  <c r="I56" i="7"/>
  <c r="J56" i="7"/>
  <c r="M10" i="12"/>
  <c r="M11" i="12"/>
  <c r="M12" i="12"/>
  <c r="C14" i="12"/>
  <c r="E14" i="12"/>
  <c r="G14" i="12"/>
  <c r="I14" i="12"/>
  <c r="K14" i="12"/>
  <c r="C18" i="12"/>
  <c r="M19" i="12"/>
  <c r="M20" i="12"/>
  <c r="M21" i="12"/>
  <c r="C22" i="12"/>
  <c r="E22" i="12"/>
  <c r="G22" i="12"/>
  <c r="G33" i="12"/>
  <c r="I22" i="12"/>
  <c r="I33" i="12"/>
  <c r="K22" i="12"/>
  <c r="C24" i="12"/>
  <c r="C25" i="12"/>
  <c r="M25" i="12"/>
  <c r="M26" i="12"/>
  <c r="M27" i="12"/>
  <c r="M28" i="12"/>
  <c r="M29" i="12"/>
  <c r="C30" i="12"/>
  <c r="E30" i="12"/>
  <c r="G30" i="12"/>
  <c r="I30" i="12"/>
  <c r="K30" i="12"/>
  <c r="M30" i="12"/>
  <c r="C33" i="12"/>
  <c r="E33" i="12"/>
  <c r="K33" i="12"/>
  <c r="C36" i="12"/>
  <c r="E36" i="12"/>
  <c r="M38" i="12"/>
  <c r="M39" i="12"/>
  <c r="M40" i="12"/>
  <c r="M41" i="12"/>
  <c r="E45" i="12"/>
  <c r="C47" i="12"/>
  <c r="E47" i="12"/>
  <c r="M10" i="8"/>
  <c r="M11" i="8"/>
  <c r="M12" i="8"/>
  <c r="C14" i="8"/>
  <c r="E14" i="8"/>
  <c r="G14" i="8"/>
  <c r="I14" i="8"/>
  <c r="K14" i="8"/>
  <c r="C18" i="8"/>
  <c r="M19" i="8"/>
  <c r="M20" i="8"/>
  <c r="M21" i="8"/>
  <c r="M22" i="8"/>
  <c r="M23" i="8"/>
  <c r="C24" i="8"/>
  <c r="E24" i="8"/>
  <c r="G24" i="8"/>
  <c r="P24" i="8"/>
  <c r="I24" i="8"/>
  <c r="K24" i="8"/>
  <c r="C26" i="8"/>
  <c r="C27" i="8"/>
  <c r="M27" i="8"/>
  <c r="M32" i="8"/>
  <c r="M28" i="8"/>
  <c r="M29" i="8"/>
  <c r="M30" i="8"/>
  <c r="M31" i="8"/>
  <c r="C32" i="8"/>
  <c r="E32" i="8"/>
  <c r="G32" i="8"/>
  <c r="I32" i="8"/>
  <c r="K32" i="8"/>
  <c r="G28" i="13"/>
  <c r="C35" i="8"/>
  <c r="E35" i="8"/>
  <c r="C38" i="8"/>
  <c r="E38" i="8"/>
  <c r="M40" i="8"/>
  <c r="M42" i="8"/>
  <c r="M44" i="8"/>
  <c r="E48" i="8"/>
  <c r="C50" i="8"/>
  <c r="E50" i="8"/>
  <c r="E11" i="6"/>
  <c r="G11" i="6"/>
  <c r="I11" i="6"/>
  <c r="K11" i="6"/>
  <c r="M11" i="6"/>
  <c r="O11" i="6"/>
  <c r="C13" i="6"/>
  <c r="E13" i="6"/>
  <c r="G13" i="6"/>
  <c r="K13" i="6"/>
  <c r="M13" i="6"/>
  <c r="P13" i="6"/>
  <c r="E15" i="6"/>
  <c r="G15" i="6"/>
  <c r="I15" i="6"/>
  <c r="K15" i="6"/>
  <c r="M15" i="6"/>
  <c r="O15" i="6"/>
  <c r="C19" i="6"/>
  <c r="E19" i="6"/>
  <c r="G19" i="6"/>
  <c r="I19" i="6"/>
  <c r="K19" i="6"/>
  <c r="M19" i="6"/>
  <c r="O19" i="6"/>
  <c r="C20" i="6"/>
  <c r="E20" i="6"/>
  <c r="G20" i="6"/>
  <c r="I20" i="6"/>
  <c r="K20" i="6"/>
  <c r="M20" i="6"/>
  <c r="O20" i="6"/>
  <c r="E21" i="6"/>
  <c r="G21" i="6"/>
  <c r="I21" i="6"/>
  <c r="K21" i="6"/>
  <c r="M21" i="6"/>
  <c r="O21" i="6"/>
  <c r="R41" i="6"/>
  <c r="S41" i="6"/>
  <c r="T41" i="6"/>
  <c r="R43" i="6"/>
  <c r="S43" i="6"/>
  <c r="T43" i="6"/>
  <c r="C10" i="3"/>
  <c r="E10" i="3"/>
  <c r="G10" i="3"/>
  <c r="I10" i="3"/>
  <c r="M10" i="3"/>
  <c r="C11" i="3"/>
  <c r="E11" i="3"/>
  <c r="G11" i="3"/>
  <c r="I11" i="3"/>
  <c r="M11" i="3"/>
  <c r="C12" i="3"/>
  <c r="E12" i="3"/>
  <c r="G12" i="3"/>
  <c r="I12" i="3"/>
  <c r="M12" i="3"/>
  <c r="C15" i="3"/>
  <c r="E15" i="3"/>
  <c r="G15" i="3"/>
  <c r="I15" i="3"/>
  <c r="O15" i="3"/>
  <c r="M15" i="3"/>
  <c r="C16" i="3"/>
  <c r="E16" i="3"/>
  <c r="G16" i="3"/>
  <c r="I16" i="3"/>
  <c r="M16" i="3"/>
  <c r="C19" i="3"/>
  <c r="E19" i="3"/>
  <c r="G19" i="3"/>
  <c r="I19" i="3"/>
  <c r="M19" i="3"/>
  <c r="C20" i="3"/>
  <c r="E20" i="3"/>
  <c r="G20" i="3"/>
  <c r="I20" i="3"/>
  <c r="M20" i="3"/>
  <c r="C21" i="3"/>
  <c r="E21" i="3"/>
  <c r="G21" i="3"/>
  <c r="I21" i="3"/>
  <c r="M21" i="3"/>
  <c r="C22" i="3"/>
  <c r="E22" i="3"/>
  <c r="G22" i="3"/>
  <c r="I22" i="3"/>
  <c r="M22" i="3"/>
  <c r="C23" i="3"/>
  <c r="E23" i="3"/>
  <c r="G23" i="3"/>
  <c r="I23" i="3"/>
  <c r="M23" i="3"/>
  <c r="C25" i="3"/>
  <c r="E25" i="3"/>
  <c r="G25" i="3"/>
  <c r="I25" i="3"/>
  <c r="M25" i="3"/>
  <c r="C27" i="3"/>
  <c r="E27" i="3"/>
  <c r="G27" i="3"/>
  <c r="I27" i="3"/>
  <c r="O27" i="3"/>
  <c r="M27" i="3"/>
  <c r="C30" i="3"/>
  <c r="E30" i="3"/>
  <c r="G30" i="3"/>
  <c r="I30" i="3"/>
  <c r="M30" i="3"/>
  <c r="C31" i="3"/>
  <c r="E31" i="3"/>
  <c r="G31" i="3"/>
  <c r="I31" i="3"/>
  <c r="M31" i="3"/>
  <c r="K33" i="3"/>
  <c r="O33" i="3"/>
  <c r="E35" i="3"/>
  <c r="O35" i="3"/>
  <c r="R35" i="3"/>
  <c r="S35" i="3"/>
  <c r="E37" i="3"/>
  <c r="O37" i="3"/>
  <c r="K39" i="3"/>
  <c r="M10" i="1"/>
  <c r="M11" i="1"/>
  <c r="M12" i="1"/>
  <c r="C14" i="1"/>
  <c r="E14" i="1"/>
  <c r="G14" i="1"/>
  <c r="I14" i="1"/>
  <c r="K14" i="1"/>
  <c r="C18" i="1"/>
  <c r="M18" i="1"/>
  <c r="N18" i="1"/>
  <c r="M19" i="1"/>
  <c r="M20" i="1"/>
  <c r="M21" i="1"/>
  <c r="M22" i="1"/>
  <c r="C23" i="1"/>
  <c r="E23" i="1"/>
  <c r="G23" i="1"/>
  <c r="I23" i="1"/>
  <c r="K23" i="1"/>
  <c r="M26" i="1"/>
  <c r="N26" i="1"/>
  <c r="M27" i="1"/>
  <c r="M28" i="1"/>
  <c r="M29" i="1"/>
  <c r="M30" i="1"/>
  <c r="C31" i="1"/>
  <c r="E31" i="1"/>
  <c r="G31" i="1"/>
  <c r="I31" i="1"/>
  <c r="K31" i="1"/>
  <c r="R11" i="3"/>
  <c r="M34" i="1"/>
  <c r="N34" i="1"/>
  <c r="M35" i="1"/>
  <c r="M36" i="1"/>
  <c r="M37" i="1"/>
  <c r="M38" i="1"/>
  <c r="C39" i="1"/>
  <c r="E39" i="1"/>
  <c r="G39" i="1"/>
  <c r="I39" i="1"/>
  <c r="K39" i="1"/>
  <c r="M42" i="1"/>
  <c r="N42" i="1"/>
  <c r="M43" i="1"/>
  <c r="M44" i="1"/>
  <c r="M45" i="1"/>
  <c r="M46" i="1"/>
  <c r="C47" i="1"/>
  <c r="E47" i="1"/>
  <c r="G47" i="1"/>
  <c r="I47" i="1"/>
  <c r="K47" i="1"/>
  <c r="R15" i="3"/>
  <c r="M50" i="1"/>
  <c r="N50" i="1"/>
  <c r="M51" i="1"/>
  <c r="M52" i="1"/>
  <c r="M53" i="1"/>
  <c r="M54" i="1"/>
  <c r="C55" i="1"/>
  <c r="E55" i="1"/>
  <c r="G55" i="1"/>
  <c r="I55" i="1"/>
  <c r="K55" i="1"/>
  <c r="M58" i="1"/>
  <c r="N58" i="1"/>
  <c r="M59" i="1"/>
  <c r="M60" i="1"/>
  <c r="M61" i="1"/>
  <c r="M62" i="1"/>
  <c r="C63" i="1"/>
  <c r="E63" i="1"/>
  <c r="G63" i="1"/>
  <c r="I63" i="1"/>
  <c r="K63" i="1"/>
  <c r="M66" i="1"/>
  <c r="M67" i="1"/>
  <c r="M68" i="1"/>
  <c r="M69" i="1"/>
  <c r="M70" i="1"/>
  <c r="C71" i="1"/>
  <c r="E71" i="1"/>
  <c r="G71" i="1"/>
  <c r="I71" i="1"/>
  <c r="K71" i="1"/>
  <c r="M74" i="1"/>
  <c r="M75" i="1"/>
  <c r="M76" i="1"/>
  <c r="M77" i="1"/>
  <c r="M78" i="1"/>
  <c r="C79" i="1"/>
  <c r="E79" i="1"/>
  <c r="G79" i="1"/>
  <c r="D23" i="5"/>
  <c r="I79" i="1"/>
  <c r="K79" i="1"/>
  <c r="M82" i="1"/>
  <c r="M83" i="1"/>
  <c r="M84" i="1"/>
  <c r="M85" i="1"/>
  <c r="M86" i="1"/>
  <c r="C87" i="1"/>
  <c r="E87" i="1"/>
  <c r="G87" i="1"/>
  <c r="D24" i="5"/>
  <c r="I87" i="1"/>
  <c r="K87" i="1"/>
  <c r="H24" i="5"/>
  <c r="C25" i="13"/>
  <c r="M90" i="1"/>
  <c r="N90" i="1"/>
  <c r="M91" i="1"/>
  <c r="M92" i="1"/>
  <c r="M93" i="1"/>
  <c r="M94" i="1"/>
  <c r="C95" i="1"/>
  <c r="E95" i="1"/>
  <c r="G95" i="1"/>
  <c r="I95" i="1"/>
  <c r="K95" i="1"/>
  <c r="M98" i="1"/>
  <c r="N98" i="1"/>
  <c r="M99" i="1"/>
  <c r="M100" i="1"/>
  <c r="M101" i="1"/>
  <c r="M102" i="1"/>
  <c r="C103" i="1"/>
  <c r="E103" i="1"/>
  <c r="G103" i="1"/>
  <c r="I103" i="1"/>
  <c r="K103" i="1"/>
  <c r="C108" i="1"/>
  <c r="M108" i="1"/>
  <c r="N108" i="1"/>
  <c r="M109" i="1"/>
  <c r="M110" i="1"/>
  <c r="M111" i="1"/>
  <c r="M112" i="1"/>
  <c r="C113" i="1"/>
  <c r="E113" i="1"/>
  <c r="G113" i="1"/>
  <c r="D27" i="5"/>
  <c r="I113" i="1"/>
  <c r="K113" i="1"/>
  <c r="R27" i="3"/>
  <c r="M116" i="1"/>
  <c r="N116" i="1"/>
  <c r="M117" i="1"/>
  <c r="M118" i="1"/>
  <c r="M119" i="1"/>
  <c r="M120" i="1"/>
  <c r="C121" i="1"/>
  <c r="E121" i="1"/>
  <c r="G121" i="1"/>
  <c r="I121" i="1"/>
  <c r="K121" i="1"/>
  <c r="M124" i="1"/>
  <c r="N124" i="1"/>
  <c r="M125" i="1"/>
  <c r="M126" i="1"/>
  <c r="M127" i="1"/>
  <c r="M128" i="1"/>
  <c r="C129" i="1"/>
  <c r="E129" i="1"/>
  <c r="G129" i="1"/>
  <c r="I129" i="1"/>
  <c r="K129" i="1"/>
  <c r="M132" i="1"/>
  <c r="N132" i="1"/>
  <c r="M133" i="1"/>
  <c r="M134" i="1"/>
  <c r="M135" i="1"/>
  <c r="M136" i="1"/>
  <c r="C137" i="1"/>
  <c r="E137" i="1"/>
  <c r="G137" i="1"/>
  <c r="I137" i="1"/>
  <c r="F30" i="5"/>
  <c r="K137" i="1"/>
  <c r="R23" i="3"/>
  <c r="M140" i="1"/>
  <c r="M141" i="1"/>
  <c r="E141" i="1"/>
  <c r="G141" i="1"/>
  <c r="I141" i="1"/>
  <c r="K141" i="1"/>
  <c r="M144" i="1"/>
  <c r="M145" i="1"/>
  <c r="M146" i="1"/>
  <c r="C147" i="1"/>
  <c r="C161" i="1"/>
  <c r="E147" i="1"/>
  <c r="G147" i="1"/>
  <c r="I147" i="1"/>
  <c r="K147" i="1"/>
  <c r="M150" i="1"/>
  <c r="C151" i="1"/>
  <c r="E151" i="1"/>
  <c r="G151" i="1"/>
  <c r="I151" i="1"/>
  <c r="K151" i="1"/>
  <c r="M151" i="1"/>
  <c r="M154" i="1"/>
  <c r="C155" i="1"/>
  <c r="E155" i="1"/>
  <c r="G155" i="1"/>
  <c r="I155" i="1"/>
  <c r="K155" i="1"/>
  <c r="M155" i="1"/>
  <c r="M158" i="1"/>
  <c r="M159" i="1"/>
  <c r="C159" i="1"/>
  <c r="E159" i="1"/>
  <c r="G159" i="1"/>
  <c r="I159" i="1"/>
  <c r="K159" i="1"/>
  <c r="R37" i="3"/>
  <c r="S37" i="3"/>
  <c r="E161" i="1"/>
  <c r="C164" i="1"/>
  <c r="E164" i="1"/>
  <c r="M166" i="1"/>
  <c r="M168" i="1"/>
  <c r="M170" i="1"/>
  <c r="E174" i="1"/>
  <c r="C176" i="1"/>
  <c r="E176" i="1"/>
  <c r="D9" i="5"/>
  <c r="F9" i="5"/>
  <c r="H9" i="5"/>
  <c r="D10" i="5"/>
  <c r="F10" i="5"/>
  <c r="H10" i="5"/>
  <c r="C10" i="13"/>
  <c r="D11" i="5"/>
  <c r="F11" i="5"/>
  <c r="H11" i="5"/>
  <c r="C11" i="13"/>
  <c r="D13" i="5"/>
  <c r="F16" i="5"/>
  <c r="G16" i="5"/>
  <c r="I16" i="5"/>
  <c r="D17" i="5"/>
  <c r="G17" i="5"/>
  <c r="I17" i="5"/>
  <c r="G18" i="5"/>
  <c r="I18" i="5"/>
  <c r="D19" i="5"/>
  <c r="G19" i="5"/>
  <c r="I19" i="5"/>
  <c r="D20" i="5"/>
  <c r="G20" i="5"/>
  <c r="H20" i="5"/>
  <c r="C20" i="13"/>
  <c r="I20" i="5"/>
  <c r="D21" i="5"/>
  <c r="G21" i="5"/>
  <c r="H21" i="5"/>
  <c r="C21" i="13"/>
  <c r="I21" i="5"/>
  <c r="G22" i="5"/>
  <c r="H22" i="5"/>
  <c r="I22" i="5"/>
  <c r="F23" i="5"/>
  <c r="G23" i="5"/>
  <c r="I23" i="5"/>
  <c r="G24" i="5"/>
  <c r="I24" i="5"/>
  <c r="D25" i="5"/>
  <c r="F25" i="5"/>
  <c r="G25" i="5"/>
  <c r="I25" i="5"/>
  <c r="D26" i="5"/>
  <c r="F26" i="5"/>
  <c r="G26" i="5"/>
  <c r="I26" i="5"/>
  <c r="F27" i="5"/>
  <c r="G27" i="5"/>
  <c r="I27" i="5"/>
  <c r="D28" i="5"/>
  <c r="G28" i="5"/>
  <c r="I28" i="5"/>
  <c r="D29" i="5"/>
  <c r="G29" i="5"/>
  <c r="H29" i="5"/>
  <c r="C30" i="13"/>
  <c r="I29" i="5"/>
  <c r="G30" i="5"/>
  <c r="I30" i="5"/>
  <c r="D31" i="5"/>
  <c r="F31" i="5"/>
  <c r="J31" i="5"/>
  <c r="G31" i="5"/>
  <c r="H31" i="5"/>
  <c r="C32" i="13"/>
  <c r="I31" i="5"/>
  <c r="G32" i="5"/>
  <c r="H32" i="5"/>
  <c r="I32" i="5"/>
  <c r="F33" i="5"/>
  <c r="G33" i="5"/>
  <c r="H33" i="5"/>
  <c r="J33" i="5"/>
  <c r="I33" i="5"/>
  <c r="D34" i="5"/>
  <c r="F34" i="5"/>
  <c r="G34" i="5"/>
  <c r="H34" i="5"/>
  <c r="I34" i="5"/>
  <c r="J34" i="5"/>
  <c r="D35" i="5"/>
  <c r="F35" i="5"/>
  <c r="G35" i="5"/>
  <c r="H35" i="5"/>
  <c r="C38" i="13"/>
  <c r="I35" i="5"/>
  <c r="G42" i="5"/>
  <c r="H42" i="5"/>
  <c r="H48" i="5"/>
  <c r="G43" i="5"/>
  <c r="H43" i="5"/>
  <c r="J43" i="5"/>
  <c r="G45" i="5"/>
  <c r="H45" i="5"/>
  <c r="J45" i="5"/>
  <c r="G46" i="5"/>
  <c r="H46" i="5"/>
  <c r="J46" i="5"/>
  <c r="G47" i="5"/>
  <c r="J47" i="5"/>
  <c r="D48" i="5"/>
  <c r="F48" i="5"/>
  <c r="C50" i="5"/>
  <c r="E50" i="5"/>
  <c r="G50" i="5"/>
  <c r="I50" i="5"/>
  <c r="E9" i="13"/>
  <c r="E13" i="13"/>
  <c r="G9" i="13"/>
  <c r="E10" i="13"/>
  <c r="G10" i="13"/>
  <c r="E11" i="13"/>
  <c r="G11" i="13"/>
  <c r="C12" i="13"/>
  <c r="E12" i="13"/>
  <c r="E32" i="13"/>
  <c r="C33" i="13"/>
  <c r="E33" i="13"/>
  <c r="E34" i="13"/>
  <c r="C37" i="13"/>
  <c r="E39" i="13"/>
  <c r="K36" i="12"/>
  <c r="K43" i="12"/>
  <c r="M22" i="12"/>
  <c r="M33" i="12"/>
  <c r="I36" i="12"/>
  <c r="I43" i="12"/>
  <c r="M14" i="12"/>
  <c r="G36" i="12"/>
  <c r="G43" i="12"/>
  <c r="G47" i="12"/>
  <c r="I45" i="12"/>
  <c r="E41" i="13"/>
  <c r="K35" i="8"/>
  <c r="K38" i="8"/>
  <c r="K46" i="8"/>
  <c r="G25" i="13"/>
  <c r="G39" i="13"/>
  <c r="I35" i="8"/>
  <c r="M24" i="8"/>
  <c r="M35" i="8"/>
  <c r="I38" i="8"/>
  <c r="I46" i="8"/>
  <c r="G35" i="8"/>
  <c r="G38" i="8"/>
  <c r="G46" i="8"/>
  <c r="G50" i="8"/>
  <c r="I48" i="8"/>
  <c r="G13" i="13"/>
  <c r="M14" i="8"/>
  <c r="Q113" i="1"/>
  <c r="Q23" i="1"/>
  <c r="E139" i="1"/>
  <c r="C73" i="1"/>
  <c r="C97" i="1"/>
  <c r="C131" i="1"/>
  <c r="C33" i="1"/>
  <c r="C25" i="1"/>
  <c r="C17" i="1"/>
  <c r="C57" i="1"/>
  <c r="C115" i="1"/>
  <c r="C143" i="1"/>
  <c r="C149" i="1"/>
  <c r="C153" i="1"/>
  <c r="C41" i="1"/>
  <c r="C65" i="1"/>
  <c r="C89" i="1"/>
  <c r="C107" i="1"/>
  <c r="C123" i="1"/>
  <c r="C49" i="1"/>
  <c r="C34" i="13"/>
  <c r="M147" i="1"/>
  <c r="C81" i="1"/>
  <c r="F24" i="5"/>
  <c r="J24" i="5"/>
  <c r="M87" i="1"/>
  <c r="J35" i="5"/>
  <c r="D33" i="5"/>
  <c r="F32" i="5"/>
  <c r="J32" i="5"/>
  <c r="D32" i="5"/>
  <c r="K45" i="3"/>
  <c r="M137" i="1"/>
  <c r="O23" i="3"/>
  <c r="S23" i="3"/>
  <c r="H30" i="5"/>
  <c r="C31" i="13"/>
  <c r="D30" i="5"/>
  <c r="F29" i="5"/>
  <c r="J29" i="5"/>
  <c r="O31" i="3"/>
  <c r="R31" i="3"/>
  <c r="M129" i="1"/>
  <c r="F28" i="5"/>
  <c r="O30" i="3"/>
  <c r="H28" i="5"/>
  <c r="C29" i="13"/>
  <c r="R30" i="3"/>
  <c r="M121" i="1"/>
  <c r="H27" i="5"/>
  <c r="C28" i="13"/>
  <c r="S27" i="3"/>
  <c r="M113" i="1"/>
  <c r="O25" i="3"/>
  <c r="S25" i="3"/>
  <c r="M103" i="1"/>
  <c r="H26" i="5"/>
  <c r="C27" i="13"/>
  <c r="R25" i="3"/>
  <c r="O22" i="3"/>
  <c r="R22" i="3"/>
  <c r="H25" i="5"/>
  <c r="C26" i="13"/>
  <c r="M95" i="1"/>
  <c r="O21" i="3"/>
  <c r="R21" i="3"/>
  <c r="H23" i="5"/>
  <c r="C24" i="13"/>
  <c r="M79" i="1"/>
  <c r="N74" i="1"/>
  <c r="F22" i="5"/>
  <c r="J22" i="5"/>
  <c r="D22" i="5"/>
  <c r="C23" i="13"/>
  <c r="O20" i="3"/>
  <c r="M71" i="1"/>
  <c r="R20" i="3"/>
  <c r="S20" i="3"/>
  <c r="N66" i="1"/>
  <c r="O16" i="3"/>
  <c r="R16" i="3"/>
  <c r="E39" i="3"/>
  <c r="E45" i="3"/>
  <c r="S15" i="3"/>
  <c r="H19" i="5"/>
  <c r="C19" i="13"/>
  <c r="O12" i="3"/>
  <c r="H18" i="5"/>
  <c r="C18" i="13"/>
  <c r="R12" i="3"/>
  <c r="I39" i="3"/>
  <c r="O11" i="3"/>
  <c r="S11" i="3"/>
  <c r="G39" i="3"/>
  <c r="G45" i="3"/>
  <c r="H17" i="5"/>
  <c r="C17" i="13"/>
  <c r="M39" i="3"/>
  <c r="H16" i="5"/>
  <c r="O10" i="3"/>
  <c r="C39" i="3"/>
  <c r="R10" i="3"/>
  <c r="K161" i="1"/>
  <c r="K164" i="1"/>
  <c r="K172" i="1"/>
  <c r="J16" i="5"/>
  <c r="J11" i="5"/>
  <c r="J10" i="5"/>
  <c r="H13" i="5"/>
  <c r="C9" i="13"/>
  <c r="C13" i="13"/>
  <c r="J9" i="5"/>
  <c r="J13" i="5"/>
  <c r="O19" i="3"/>
  <c r="R19" i="3"/>
  <c r="F21" i="5"/>
  <c r="J21" i="5"/>
  <c r="M63" i="1"/>
  <c r="F20" i="5"/>
  <c r="J20" i="5"/>
  <c r="M55" i="1"/>
  <c r="F19" i="5"/>
  <c r="J19" i="5"/>
  <c r="M47" i="1"/>
  <c r="M39" i="1"/>
  <c r="F18" i="5"/>
  <c r="D18" i="5"/>
  <c r="F17" i="5"/>
  <c r="M31" i="1"/>
  <c r="I161" i="1"/>
  <c r="I164" i="1"/>
  <c r="I172" i="1"/>
  <c r="M23" i="1"/>
  <c r="G161" i="1"/>
  <c r="G164" i="1"/>
  <c r="G172" i="1"/>
  <c r="D16" i="5"/>
  <c r="M14" i="1"/>
  <c r="F13" i="5"/>
  <c r="J42" i="5"/>
  <c r="J48" i="5"/>
  <c r="M36" i="12"/>
  <c r="I47" i="12"/>
  <c r="K45" i="12"/>
  <c r="K47" i="12"/>
  <c r="E43" i="13"/>
  <c r="E44" i="13"/>
  <c r="G41" i="13"/>
  <c r="M38" i="8"/>
  <c r="I50" i="8"/>
  <c r="K48" i="8"/>
  <c r="K50" i="8"/>
  <c r="Q164" i="1"/>
  <c r="G176" i="1"/>
  <c r="I174" i="1"/>
  <c r="I176" i="1"/>
  <c r="K174" i="1"/>
  <c r="K176" i="1"/>
  <c r="J30" i="5"/>
  <c r="S31" i="3"/>
  <c r="S30" i="3"/>
  <c r="J28" i="5"/>
  <c r="J27" i="5"/>
  <c r="J26" i="5"/>
  <c r="S22" i="3"/>
  <c r="J25" i="5"/>
  <c r="S21" i="3"/>
  <c r="J23" i="5"/>
  <c r="M45" i="3"/>
  <c r="S16" i="3"/>
  <c r="J18" i="5"/>
  <c r="S12" i="3"/>
  <c r="J17" i="5"/>
  <c r="H37" i="5"/>
  <c r="H40" i="5"/>
  <c r="H50" i="5"/>
  <c r="I45" i="3"/>
  <c r="C16" i="13"/>
  <c r="C39" i="13"/>
  <c r="C41" i="13"/>
  <c r="S10" i="3"/>
  <c r="C45" i="3"/>
  <c r="O39" i="3"/>
  <c r="M41" i="3"/>
  <c r="S19" i="3"/>
  <c r="R45" i="3"/>
  <c r="D37" i="5"/>
  <c r="D40" i="5"/>
  <c r="D50" i="5"/>
  <c r="D54" i="5"/>
  <c r="D56" i="5"/>
  <c r="F37" i="5"/>
  <c r="F40" i="5"/>
  <c r="F50" i="5"/>
  <c r="M161" i="1"/>
  <c r="M164" i="1"/>
  <c r="G43" i="13"/>
  <c r="G44" i="13"/>
  <c r="J37" i="5"/>
  <c r="J40" i="5"/>
  <c r="J50" i="5"/>
  <c r="P10" i="3"/>
  <c r="P37" i="3"/>
  <c r="E41" i="3"/>
  <c r="S45" i="3"/>
  <c r="P15" i="3"/>
  <c r="P16" i="3"/>
  <c r="O45" i="3"/>
  <c r="P33" i="3"/>
  <c r="P25" i="3"/>
  <c r="C41" i="3"/>
  <c r="P23" i="3"/>
  <c r="P35" i="3"/>
  <c r="P11" i="3"/>
  <c r="P20" i="3"/>
  <c r="P22" i="3"/>
  <c r="P30" i="3"/>
  <c r="I41" i="3"/>
  <c r="P31" i="3"/>
  <c r="P12" i="3"/>
  <c r="G41" i="3"/>
  <c r="P27" i="3"/>
  <c r="K41" i="3"/>
  <c r="P21" i="3"/>
  <c r="P19" i="3"/>
  <c r="F52" i="5"/>
  <c r="F54" i="5"/>
  <c r="H52" i="5"/>
  <c r="C43" i="13"/>
  <c r="C44" i="13"/>
  <c r="P39" i="3"/>
  <c r="O41" i="3"/>
  <c r="H54" i="5"/>
  <c r="H56" i="5"/>
  <c r="F56" i="5"/>
  <c r="C40" i="7" l="1"/>
</calcChain>
</file>

<file path=xl/sharedStrings.xml><?xml version="1.0" encoding="utf-8"?>
<sst xmlns="http://schemas.openxmlformats.org/spreadsheetml/2006/main" count="572" uniqueCount="286">
  <si>
    <t>2007-08</t>
  </si>
  <si>
    <t>Proposed</t>
  </si>
  <si>
    <t>Actual</t>
  </si>
  <si>
    <t>Budget</t>
  </si>
  <si>
    <t xml:space="preserve"> </t>
  </si>
  <si>
    <t>Expenditures:</t>
  </si>
  <si>
    <t>Beginning Fund Balance</t>
  </si>
  <si>
    <t>Ending Fund Balance</t>
  </si>
  <si>
    <t>General Fund</t>
  </si>
  <si>
    <t>Revenues:</t>
  </si>
  <si>
    <t>2008-2009</t>
  </si>
  <si>
    <t>Payroll</t>
  </si>
  <si>
    <t>Contracted Services</t>
  </si>
  <si>
    <t>Supplies &amp; Materials</t>
  </si>
  <si>
    <t>Other Operating</t>
  </si>
  <si>
    <t>Capital Outlay</t>
  </si>
  <si>
    <t>Function 11 - Instruction</t>
  </si>
  <si>
    <t>Total 11 - Instruction</t>
  </si>
  <si>
    <t>Function 12 - Instr. Resources &amp; Media</t>
  </si>
  <si>
    <t>Total 12 - Instr. Resources &amp; Media</t>
  </si>
  <si>
    <t>Local Sources</t>
  </si>
  <si>
    <t>State Sources</t>
  </si>
  <si>
    <t>Federal Sources</t>
  </si>
  <si>
    <t>Function 31 - Guidance &amp; Counseling</t>
  </si>
  <si>
    <t>Total 31 - Guidance &amp; Counseling</t>
  </si>
  <si>
    <t>Function 33 - Health Services</t>
  </si>
  <si>
    <t>Total 33 - Health Services</t>
  </si>
  <si>
    <t>Function 41 - General Administration</t>
  </si>
  <si>
    <t>Total 41 - General Administration</t>
  </si>
  <si>
    <t>Function 53 - Data Processing</t>
  </si>
  <si>
    <t>Total 53 - Data Processing</t>
  </si>
  <si>
    <t>Function 61 - Community Services</t>
  </si>
  <si>
    <t>Total 61 - Community Services</t>
  </si>
  <si>
    <t>Function 99 - Other Intergovernmental Charges</t>
  </si>
  <si>
    <t>Total 99 - Other Intergovernmental Charge</t>
  </si>
  <si>
    <t>TOTAL OPERATING EXPENDITURES</t>
  </si>
  <si>
    <t>TOTAL ALL EXPENDITURES</t>
  </si>
  <si>
    <t>TOTAL REVENUES</t>
  </si>
  <si>
    <t>Change</t>
  </si>
  <si>
    <t xml:space="preserve">Excess/(Deficiency) of </t>
  </si>
  <si>
    <t xml:space="preserve">   Revenues vs. Expenditures </t>
  </si>
  <si>
    <t>Instruction</t>
  </si>
  <si>
    <t>Other Intergovernmental Charges</t>
  </si>
  <si>
    <t>PAYROLL</t>
  </si>
  <si>
    <t>CONTRACTED</t>
  </si>
  <si>
    <t>SUPPLIES/</t>
  </si>
  <si>
    <t>OTHER</t>
  </si>
  <si>
    <t>DEBT</t>
  </si>
  <si>
    <t>CAPITAL</t>
  </si>
  <si>
    <t>SERVICES</t>
  </si>
  <si>
    <t>MATERIALS</t>
  </si>
  <si>
    <t>EXPENSES</t>
  </si>
  <si>
    <t>SERVICE</t>
  </si>
  <si>
    <t>OUTLAY</t>
  </si>
  <si>
    <t>FCT.</t>
  </si>
  <si>
    <t>Check Digit</t>
  </si>
  <si>
    <t>FUNCTION</t>
  </si>
  <si>
    <t>(61XX)</t>
  </si>
  <si>
    <t>(62XX)</t>
  </si>
  <si>
    <t>(63XX)</t>
  </si>
  <si>
    <t>(64XX)</t>
  </si>
  <si>
    <t>(65XX)</t>
  </si>
  <si>
    <t>(66XX)</t>
  </si>
  <si>
    <t>TOTALS</t>
  </si>
  <si>
    <t>%</t>
  </si>
  <si>
    <t>INSTRUCTION &amp; INSTRUCTION RELATED SERVICES</t>
  </si>
  <si>
    <t>11</t>
  </si>
  <si>
    <t>INSTRUCTION</t>
  </si>
  <si>
    <t>12</t>
  </si>
  <si>
    <t>13</t>
  </si>
  <si>
    <t>INSTRUCTIONAL &amp; SCHOOL LEADERSHIP</t>
  </si>
  <si>
    <t>21</t>
  </si>
  <si>
    <t>INSTRUCTIONAL LEADERSHIP</t>
  </si>
  <si>
    <t>23</t>
  </si>
  <si>
    <t>SCHOOL LEADERSHIP</t>
  </si>
  <si>
    <t>STUDENT SERVICES</t>
  </si>
  <si>
    <t>31</t>
  </si>
  <si>
    <t>GUIDANCE &amp; COUNSELING</t>
  </si>
  <si>
    <t>33</t>
  </si>
  <si>
    <t>HEALTH SERVICES</t>
  </si>
  <si>
    <t>34</t>
  </si>
  <si>
    <t>STUDENT (PUPIL) TRANSPORTATION</t>
  </si>
  <si>
    <t>36</t>
  </si>
  <si>
    <t>ADMINISTRATIVE SUPPORT SERVICES</t>
  </si>
  <si>
    <t>41</t>
  </si>
  <si>
    <t>51</t>
  </si>
  <si>
    <t>52</t>
  </si>
  <si>
    <t>SECURITY SERVICES</t>
  </si>
  <si>
    <t>53</t>
  </si>
  <si>
    <t>DATA PROCESSING SERVICES</t>
  </si>
  <si>
    <t>61</t>
  </si>
  <si>
    <t>DEBT SERVICE</t>
  </si>
  <si>
    <t>OTHER INTERGOVERNMENTAL CHARGE</t>
  </si>
  <si>
    <t xml:space="preserve">               Percentages  by Object</t>
  </si>
  <si>
    <t>TOTAL EXPENDITURES</t>
  </si>
  <si>
    <t>INSTRUCTIONAL RESOURCES &amp; MEDIA SERVICES</t>
  </si>
  <si>
    <t>CURRICULUM &amp;  INSTRUCTIONAL STAFF DEVELOPMENT</t>
  </si>
  <si>
    <t>COMMUNITY SERVICES</t>
  </si>
  <si>
    <t>PAYMENTS TO JJAEP</t>
  </si>
  <si>
    <t>SUPPORT SERVICES-NON STUDENT</t>
  </si>
  <si>
    <t>Expenditure Budget Summary by Function and Object</t>
  </si>
  <si>
    <t>Mansfield Independent School District</t>
  </si>
  <si>
    <t>Function 21 - Instructional Administration</t>
  </si>
  <si>
    <t>Total 21 - Instructional Administration</t>
  </si>
  <si>
    <t>Function 23 - School Administration</t>
  </si>
  <si>
    <t>Total 23 - School Administration</t>
  </si>
  <si>
    <t>Function 34 - Student Transportation</t>
  </si>
  <si>
    <t>Total 34 - Student Transportation</t>
  </si>
  <si>
    <t>Function 13 - Staff Development</t>
  </si>
  <si>
    <t>Total 13 - Staff Development</t>
  </si>
  <si>
    <t>Function 36 - Co-Curricular Activities</t>
  </si>
  <si>
    <t>Total 36 - Co-Curricular Activities</t>
  </si>
  <si>
    <t>Function 51 - Plant Maintenance &amp; Operations</t>
  </si>
  <si>
    <t>Total 51 - Plant Maintenance &amp; Operations</t>
  </si>
  <si>
    <t xml:space="preserve">Function 52 - Security </t>
  </si>
  <si>
    <t xml:space="preserve">Total 52 - Security </t>
  </si>
  <si>
    <t>Function 81 - Capital Outlay</t>
  </si>
  <si>
    <t>Total 81 - Capital Outlay</t>
  </si>
  <si>
    <t>Function 95 - JJAEP</t>
  </si>
  <si>
    <t>Total 95 - JJAEP</t>
  </si>
  <si>
    <t>Function 12 - Instructional Resources &amp; Media</t>
  </si>
  <si>
    <t>CO-CURRICULAR ACTIVITIES</t>
  </si>
  <si>
    <t>PLANT MAINTENANCE &amp; OPERATIONS</t>
  </si>
  <si>
    <t>Student Transportation</t>
  </si>
  <si>
    <t>Transfers In/(Out)</t>
  </si>
  <si>
    <t>Other Resources - Sale of Property</t>
  </si>
  <si>
    <t>Net Increase/(Decrease) in Fund Balance</t>
  </si>
  <si>
    <t>Function 35 - School Nutrition</t>
  </si>
  <si>
    <t>Total 35 - School Nutrition</t>
  </si>
  <si>
    <t>Other Resources - Capital Lease</t>
  </si>
  <si>
    <t>Other Resources - Sale of real or personal property</t>
  </si>
  <si>
    <t>Other Resources - Capital lease</t>
  </si>
  <si>
    <t>Other Uses - Settlement agreements</t>
  </si>
  <si>
    <t>Special Items - Oil and gas royalties</t>
  </si>
  <si>
    <t xml:space="preserve">Debt Service </t>
  </si>
  <si>
    <t>Function 71 - Debt Service</t>
  </si>
  <si>
    <t>Total 71 - Debt Service</t>
  </si>
  <si>
    <t>57XX  Local Sources</t>
  </si>
  <si>
    <t>58XX  State Sources</t>
  </si>
  <si>
    <t>59XX  Federal Sources</t>
  </si>
  <si>
    <t>Other Uses - Settlement Agreements</t>
  </si>
  <si>
    <t>Other Uses -Transfers Out</t>
  </si>
  <si>
    <t>Special Item - Oil and gas royalties</t>
  </si>
  <si>
    <t>2015-16</t>
  </si>
  <si>
    <t xml:space="preserve">11, 91 </t>
  </si>
  <si>
    <t>Basic Instr and Athletics</t>
  </si>
  <si>
    <t>Gifted and Talented</t>
  </si>
  <si>
    <t>Career and Technology</t>
  </si>
  <si>
    <t>Special Education</t>
  </si>
  <si>
    <t xml:space="preserve">State Comp </t>
  </si>
  <si>
    <t>Bilingual</t>
  </si>
  <si>
    <t>High School Allotment</t>
  </si>
  <si>
    <t>State Revenue Allotments</t>
  </si>
  <si>
    <t>Spending Requirement</t>
  </si>
  <si>
    <t>Expenditure Required</t>
  </si>
  <si>
    <t>TOTAL Budgeted Expenditures</t>
  </si>
  <si>
    <t>Allocated Expend. of PIC 99</t>
  </si>
  <si>
    <t>(Instr Staff 2,579/Total Staff 4533)</t>
  </si>
  <si>
    <t>Current Year Estimated Difference</t>
  </si>
  <si>
    <t>Meets</t>
  </si>
  <si>
    <t>24,26-30, 34</t>
  </si>
  <si>
    <t>Meets (Fails) Spending Requirement - Allocated</t>
  </si>
  <si>
    <t>Service</t>
  </si>
  <si>
    <t>Local Revenues</t>
  </si>
  <si>
    <t>State Program Revenues **</t>
  </si>
  <si>
    <t>Federal Program Revenues</t>
  </si>
  <si>
    <t>Other Resources</t>
  </si>
  <si>
    <t>Total Revenue and Other Resources</t>
  </si>
  <si>
    <t>EXPENDITURES:</t>
  </si>
  <si>
    <t>Library &amp; Media Services</t>
  </si>
  <si>
    <t>Curriculum/Instructional Staff Development</t>
  </si>
  <si>
    <t>Instructional Administration</t>
  </si>
  <si>
    <t>School Leadership</t>
  </si>
  <si>
    <t>Guidance &amp; Counseling</t>
  </si>
  <si>
    <t>Social Work Services</t>
  </si>
  <si>
    <t>Health Services</t>
  </si>
  <si>
    <t>Child Nutrition</t>
  </si>
  <si>
    <t>Co-Curricular/Extra Curricular Activities</t>
  </si>
  <si>
    <t>General Administration</t>
  </si>
  <si>
    <t>Plant Maintenance &amp; Operations</t>
  </si>
  <si>
    <t>Security &amp; Monitoring Services</t>
  </si>
  <si>
    <t>Data Processing Services</t>
  </si>
  <si>
    <t>Community Services</t>
  </si>
  <si>
    <t>Debt Administration-Principal</t>
  </si>
  <si>
    <t>Debt Administration-Interest</t>
  </si>
  <si>
    <t>Debt Administration-Fees</t>
  </si>
  <si>
    <t>Intergovernmental Charges</t>
  </si>
  <si>
    <t xml:space="preserve">Juvenile Justice Alternative Education </t>
  </si>
  <si>
    <t>Total Expenditures</t>
  </si>
  <si>
    <t>NET OPERATING RESULTS</t>
  </si>
  <si>
    <t>FUND BALANCE, BEGINNING</t>
  </si>
  <si>
    <t>FUND BALANCE, ENDING</t>
  </si>
  <si>
    <t>August Payments</t>
  </si>
  <si>
    <t>Fund Balance after August Interest Payment</t>
  </si>
  <si>
    <t>REVENUES AND OTHER SOURCES:</t>
  </si>
  <si>
    <t>Debt Service</t>
  </si>
  <si>
    <t>2019-2020      Debt Service   Projected Budget</t>
  </si>
  <si>
    <t>2020-2021      Debt Service   Projected Budget</t>
  </si>
  <si>
    <t>School Nutrition</t>
  </si>
  <si>
    <t>Proposed Budget Overview</t>
  </si>
  <si>
    <t>Proposed Budget Comparison</t>
  </si>
  <si>
    <t>Account Level</t>
  </si>
  <si>
    <t>2014-15</t>
  </si>
  <si>
    <t>2016-17</t>
  </si>
  <si>
    <t>FND T FC OBJ  SO ORG F PI</t>
  </si>
  <si>
    <t>Description</t>
  </si>
  <si>
    <t>FYTD Activity</t>
  </si>
  <si>
    <t>Original Budget</t>
  </si>
  <si>
    <t>Revised Budget</t>
  </si>
  <si>
    <t>Working</t>
  </si>
  <si>
    <t>7 2%MP RTG</t>
  </si>
  <si>
    <t>TASB Adj</t>
  </si>
  <si>
    <t>--- R 00 57-- -- --- - -- ---</t>
  </si>
  <si>
    <t>--- R 00 58-- -- --- - -- ---</t>
  </si>
  <si>
    <t>--- R 00 59-- -- --- - -- ---</t>
  </si>
  <si>
    <t>--- R 00 79-- -- --- - -- ---</t>
  </si>
  <si>
    <t>--- R 00 ---- -- --- - -- ---</t>
  </si>
  <si>
    <t>--- R -- ---- -- --- - -- ---</t>
  </si>
  <si>
    <t>--- E 35 61-- -- --- - -- ---</t>
  </si>
  <si>
    <t>--- E 35 62-- -- --- - -- ---</t>
  </si>
  <si>
    <t>--- E 35 63-- -- --- - -- ---</t>
  </si>
  <si>
    <t>--- E 35 64-- -- --- - -- ---</t>
  </si>
  <si>
    <t>--- E 35 66-- -- --- - -- ---</t>
  </si>
  <si>
    <t>--- E 35 ---- -- --- - -- ---</t>
  </si>
  <si>
    <t>--- E 51 61-- -- --- - -- ---</t>
  </si>
  <si>
    <t>--- E 51 ---- -- --- - -- ---</t>
  </si>
  <si>
    <t>--- E -- ---- -- --- - -- ---</t>
  </si>
  <si>
    <t>--- - -- ---- -- --- - -- ---</t>
  </si>
  <si>
    <t>Number of Accounts:</t>
  </si>
  <si>
    <t>Proposed Program Intent Budget</t>
  </si>
  <si>
    <t xml:space="preserve">   </t>
  </si>
  <si>
    <t>Principal on Long-Term Debt</t>
  </si>
  <si>
    <t>0071</t>
  </si>
  <si>
    <t>0072</t>
  </si>
  <si>
    <t>0073</t>
  </si>
  <si>
    <t>Interest on Long-Term Debt</t>
  </si>
  <si>
    <t>Bond Issuance Costs and Fees</t>
  </si>
  <si>
    <t>7911</t>
  </si>
  <si>
    <t>Refunding Bonds Issued</t>
  </si>
  <si>
    <t>Premium or discount on issuance of bonds</t>
  </si>
  <si>
    <t>Payment to Bond Refunding Escrow Agent</t>
  </si>
  <si>
    <t>Proposed Budget Projections</t>
  </si>
  <si>
    <t>Proposed Tax Rate Used</t>
  </si>
  <si>
    <t>Other Resources - Transfers In</t>
  </si>
  <si>
    <t>2017-2018</t>
  </si>
  <si>
    <t xml:space="preserve">Adopted </t>
  </si>
  <si>
    <t>2018-2019</t>
  </si>
  <si>
    <t>Sale of Land</t>
  </si>
  <si>
    <t>7912</t>
  </si>
  <si>
    <t>7916</t>
  </si>
  <si>
    <t>8949</t>
  </si>
  <si>
    <t>Function 93 - Payments Related to SSA</t>
  </si>
  <si>
    <t>Total other financing sources (uses)</t>
  </si>
  <si>
    <t>Net change in fund balances</t>
  </si>
  <si>
    <t>2016-2017      Debt Service   Actual</t>
  </si>
  <si>
    <t>2017-2018      Debt Service   Amended Budget</t>
  </si>
  <si>
    <t>2018-2019      Debt Service   Proposed Budget</t>
  </si>
  <si>
    <t>Other Sources - Refunding</t>
  </si>
  <si>
    <t>Other Uses - Refunding</t>
  </si>
  <si>
    <t>TOTAL OTHER FINANCING SOURCES (USES):</t>
  </si>
  <si>
    <t>OTHER FINANCING SOURCES (USES):</t>
  </si>
  <si>
    <t>NET CHANGE IN FUND BALANCE</t>
  </si>
  <si>
    <t>8/1/2022 VR Bonds Due $48,365,000</t>
  </si>
  <si>
    <t>Function 93 - Shared Service Arrangements</t>
  </si>
  <si>
    <t>Total 93 - Shared Service Arrangements</t>
  </si>
  <si>
    <t>Amended</t>
  </si>
  <si>
    <t>Fund Balance as a Percent of Expenditures</t>
  </si>
  <si>
    <t>Proposed Budget</t>
  </si>
  <si>
    <t>Legally Adopted Funds</t>
  </si>
  <si>
    <t>General</t>
  </si>
  <si>
    <t>Debt</t>
  </si>
  <si>
    <t>Child</t>
  </si>
  <si>
    <t>Operating</t>
  </si>
  <si>
    <t>Nutrition</t>
  </si>
  <si>
    <t>State Program Revenues</t>
  </si>
  <si>
    <t>Estimated Beginning Fund Balance</t>
  </si>
  <si>
    <t>Estimated Ending Fund Balance</t>
  </si>
  <si>
    <t>Current Year Estimated Difference-Unallocated</t>
  </si>
  <si>
    <t>Meets (Fails) Spending Requirement - Unallocated</t>
  </si>
  <si>
    <t>Estimated Expenditures with Allocated PIC 99</t>
  </si>
  <si>
    <t>M Beckett</t>
  </si>
  <si>
    <t>B Cardenas</t>
  </si>
  <si>
    <t>D Bell</t>
  </si>
  <si>
    <t>Vacancy</t>
  </si>
  <si>
    <t>T Francis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</si>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</sst>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76" formatCode="0.0000"/>
    <numFmt numFmtId="177" formatCode="0.0%"/>
    <numFmt numFmtId="178" formatCode="_(* #,##0_);_(* \(#,##0\);_(* &quot;&quot;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u val="doubleAccounting"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 applyAlignment="1"/>
    <xf numFmtId="0" fontId="2" fillId="0" borderId="0" xfId="0" applyFont="1" applyBorder="1"/>
    <xf numFmtId="10" fontId="2" fillId="0" borderId="0" xfId="0" applyNumberFormat="1" applyFont="1" applyAlignment="1"/>
    <xf numFmtId="6" fontId="2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0" xfId="0" applyNumberFormat="1" applyFont="1" applyAlignment="1"/>
    <xf numFmtId="0" fontId="2" fillId="0" borderId="0" xfId="0" applyFont="1"/>
    <xf numFmtId="166" fontId="2" fillId="0" borderId="0" xfId="4" applyNumberFormat="1" applyFont="1" applyAlignment="1"/>
    <xf numFmtId="0" fontId="7" fillId="0" borderId="0" xfId="0" applyFont="1"/>
    <xf numFmtId="0" fontId="8" fillId="0" borderId="0" xfId="0" applyFont="1"/>
    <xf numFmtId="0" fontId="10" fillId="0" borderId="0" xfId="0" applyNumberFormat="1" applyFont="1" applyAlignment="1"/>
    <xf numFmtId="0" fontId="11" fillId="0" borderId="0" xfId="0" applyFont="1"/>
    <xf numFmtId="0" fontId="13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0" fontId="16" fillId="0" borderId="0" xfId="0" applyNumberFormat="1" applyFont="1" applyAlignment="1"/>
    <xf numFmtId="0" fontId="15" fillId="0" borderId="1" xfId="0" applyNumberFormat="1" applyFont="1" applyBorder="1" applyAlignment="1">
      <alignment horizontal="center"/>
    </xf>
    <xf numFmtId="0" fontId="14" fillId="0" borderId="0" xfId="0" applyFont="1" applyAlignment="1"/>
    <xf numFmtId="0" fontId="13" fillId="0" borderId="2" xfId="0" applyNumberFormat="1" applyFont="1" applyBorder="1" applyAlignment="1"/>
    <xf numFmtId="0" fontId="13" fillId="0" borderId="0" xfId="0" applyNumberFormat="1" applyFont="1" applyBorder="1" applyAlignment="1"/>
    <xf numFmtId="166" fontId="13" fillId="0" borderId="0" xfId="4" applyNumberFormat="1" applyFont="1" applyAlignment="1"/>
    <xf numFmtId="3" fontId="13" fillId="0" borderId="0" xfId="0" applyNumberFormat="1" applyFont="1" applyAlignment="1">
      <alignment horizontal="right"/>
    </xf>
    <xf numFmtId="6" fontId="14" fillId="0" borderId="0" xfId="0" applyNumberFormat="1" applyFont="1" applyAlignment="1"/>
    <xf numFmtId="6" fontId="11" fillId="0" borderId="0" xfId="0" applyNumberFormat="1" applyFont="1"/>
    <xf numFmtId="165" fontId="13" fillId="0" borderId="0" xfId="1" applyNumberFormat="1" applyFont="1" applyAlignment="1">
      <alignment horizontal="right"/>
    </xf>
    <xf numFmtId="165" fontId="13" fillId="0" borderId="0" xfId="1" applyNumberFormat="1" applyFont="1" applyAlignment="1"/>
    <xf numFmtId="165" fontId="13" fillId="0" borderId="0" xfId="1" applyNumberFormat="1" applyFont="1" applyAlignment="1">
      <alignment horizontal="center"/>
    </xf>
    <xf numFmtId="6" fontId="13" fillId="0" borderId="0" xfId="0" applyNumberFormat="1" applyFont="1" applyAlignment="1"/>
    <xf numFmtId="165" fontId="13" fillId="0" borderId="1" xfId="1" applyNumberFormat="1" applyFont="1" applyBorder="1" applyAlignment="1">
      <alignment horizontal="right"/>
    </xf>
    <xf numFmtId="165" fontId="13" fillId="0" borderId="1" xfId="1" applyNumberFormat="1" applyFont="1" applyBorder="1" applyAlignment="1"/>
    <xf numFmtId="3" fontId="13" fillId="0" borderId="0" xfId="0" applyNumberFormat="1" applyFont="1" applyAlignment="1"/>
    <xf numFmtId="166" fontId="13" fillId="0" borderId="3" xfId="4" applyNumberFormat="1" applyFont="1" applyBorder="1" applyAlignment="1">
      <alignment horizontal="right"/>
    </xf>
    <xf numFmtId="166" fontId="13" fillId="0" borderId="0" xfId="4" applyNumberFormat="1" applyFont="1" applyAlignment="1">
      <alignment horizontal="right"/>
    </xf>
    <xf numFmtId="166" fontId="13" fillId="0" borderId="0" xfId="4" applyNumberFormat="1" applyFont="1" applyBorder="1" applyAlignment="1">
      <alignment horizontal="right"/>
    </xf>
    <xf numFmtId="6" fontId="13" fillId="0" borderId="0" xfId="0" applyNumberFormat="1" applyFont="1" applyBorder="1" applyAlignment="1">
      <alignment horizontal="right"/>
    </xf>
    <xf numFmtId="0" fontId="13" fillId="0" borderId="0" xfId="0" applyNumberFormat="1" applyFont="1" applyAlignment="1">
      <alignment horizontal="right"/>
    </xf>
    <xf numFmtId="10" fontId="14" fillId="0" borderId="0" xfId="0" applyNumberFormat="1" applyFont="1" applyAlignment="1"/>
    <xf numFmtId="3" fontId="14" fillId="0" borderId="0" xfId="0" applyNumberFormat="1" applyFont="1" applyAlignment="1"/>
    <xf numFmtId="3" fontId="13" fillId="0" borderId="1" xfId="0" applyNumberFormat="1" applyFont="1" applyBorder="1" applyAlignment="1"/>
    <xf numFmtId="166" fontId="14" fillId="0" borderId="0" xfId="4" applyNumberFormat="1" applyFont="1" applyBorder="1" applyAlignment="1"/>
    <xf numFmtId="166" fontId="13" fillId="0" borderId="2" xfId="4" applyNumberFormat="1" applyFont="1" applyBorder="1" applyAlignment="1"/>
    <xf numFmtId="0" fontId="15" fillId="0" borderId="0" xfId="0" applyNumberFormat="1" applyFont="1" applyAlignment="1">
      <alignment horizontal="left"/>
    </xf>
    <xf numFmtId="166" fontId="16" fillId="0" borderId="4" xfId="4" applyNumberFormat="1" applyFont="1" applyBorder="1" applyAlignment="1">
      <alignment horizontal="right"/>
    </xf>
    <xf numFmtId="166" fontId="17" fillId="0" borderId="0" xfId="4" applyNumberFormat="1" applyFont="1" applyAlignment="1">
      <alignment horizontal="right"/>
    </xf>
    <xf numFmtId="0" fontId="17" fillId="0" borderId="0" xfId="0" applyNumberFormat="1" applyFont="1" applyAlignment="1"/>
    <xf numFmtId="164" fontId="16" fillId="0" borderId="0" xfId="0" applyNumberFormat="1" applyFont="1" applyAlignment="1"/>
    <xf numFmtId="0" fontId="10" fillId="0" borderId="0" xfId="0" applyFont="1" applyAlignment="1"/>
    <xf numFmtId="0" fontId="10" fillId="0" borderId="0" xfId="0" applyNumberFormat="1" applyFont="1" applyAlignment="1">
      <alignment horizontal="centerContinuous"/>
    </xf>
    <xf numFmtId="0" fontId="14" fillId="0" borderId="0" xfId="0" applyNumberFormat="1" applyFont="1" applyBorder="1" applyAlignment="1">
      <alignment horizontal="centerContinuous"/>
    </xf>
    <xf numFmtId="0" fontId="10" fillId="0" borderId="0" xfId="0" applyNumberFormat="1" applyFont="1" applyBorder="1" applyAlignment="1">
      <alignment horizontal="centerContinuous"/>
    </xf>
    <xf numFmtId="0" fontId="10" fillId="0" borderId="0" xfId="0" applyNumberFormat="1" applyFont="1"/>
    <xf numFmtId="0" fontId="17" fillId="0" borderId="0" xfId="0" applyNumberFormat="1" applyFont="1" applyAlignment="1">
      <alignment horizontal="center"/>
    </xf>
    <xf numFmtId="0" fontId="10" fillId="0" borderId="0" xfId="0" applyFont="1" applyBorder="1" applyAlignment="1"/>
    <xf numFmtId="0" fontId="15" fillId="0" borderId="0" xfId="0" applyNumberFormat="1" applyFont="1" applyBorder="1" applyAlignment="1">
      <alignment horizontal="center"/>
    </xf>
    <xf numFmtId="15" fontId="19" fillId="0" borderId="0" xfId="0" applyNumberFormat="1" applyFont="1" applyAlignment="1">
      <alignment horizontal="center"/>
    </xf>
    <xf numFmtId="15" fontId="15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NumberFormat="1" applyFont="1" applyBorder="1" applyAlignment="1"/>
    <xf numFmtId="166" fontId="10" fillId="0" borderId="0" xfId="4" applyNumberFormat="1" applyFont="1" applyBorder="1" applyAlignment="1"/>
    <xf numFmtId="166" fontId="10" fillId="0" borderId="0" xfId="4" applyNumberFormat="1" applyFont="1" applyAlignment="1"/>
    <xf numFmtId="38" fontId="14" fillId="0" borderId="0" xfId="0" applyNumberFormat="1" applyFont="1"/>
    <xf numFmtId="165" fontId="10" fillId="0" borderId="0" xfId="1" applyNumberFormat="1" applyFont="1" applyBorder="1" applyAlignment="1"/>
    <xf numFmtId="165" fontId="10" fillId="0" borderId="0" xfId="1" applyNumberFormat="1" applyFont="1" applyAlignment="1"/>
    <xf numFmtId="165" fontId="10" fillId="0" borderId="0" xfId="1" applyNumberFormat="1" applyFont="1"/>
    <xf numFmtId="165" fontId="10" fillId="0" borderId="0" xfId="1" applyNumberFormat="1" applyFont="1" applyBorder="1" applyAlignment="1">
      <alignment horizontal="right"/>
    </xf>
    <xf numFmtId="3" fontId="10" fillId="0" borderId="0" xfId="0" applyNumberFormat="1" applyFont="1" applyBorder="1" applyAlignment="1"/>
    <xf numFmtId="3" fontId="10" fillId="0" borderId="2" xfId="0" applyNumberFormat="1" applyFont="1" applyBorder="1" applyAlignment="1"/>
    <xf numFmtId="0" fontId="15" fillId="0" borderId="5" xfId="0" applyNumberFormat="1" applyFont="1" applyBorder="1" applyAlignment="1">
      <alignment horizontal="center"/>
    </xf>
    <xf numFmtId="6" fontId="15" fillId="0" borderId="6" xfId="0" applyNumberFormat="1" applyFont="1" applyBorder="1" applyAlignment="1"/>
    <xf numFmtId="3" fontId="10" fillId="0" borderId="6" xfId="0" applyNumberFormat="1" applyFont="1" applyBorder="1" applyAlignment="1"/>
    <xf numFmtId="166" fontId="10" fillId="0" borderId="6" xfId="4" applyNumberFormat="1" applyFont="1" applyBorder="1" applyAlignment="1"/>
    <xf numFmtId="166" fontId="15" fillId="0" borderId="6" xfId="4" applyNumberFormat="1" applyFont="1" applyBorder="1" applyAlignment="1"/>
    <xf numFmtId="3" fontId="15" fillId="0" borderId="6" xfId="0" applyNumberFormat="1" applyFont="1" applyBorder="1" applyAlignment="1"/>
    <xf numFmtId="166" fontId="15" fillId="0" borderId="7" xfId="4" applyNumberFormat="1" applyFont="1" applyBorder="1" applyAlignment="1"/>
    <xf numFmtId="0" fontId="10" fillId="0" borderId="0" xfId="0" applyFont="1" applyBorder="1"/>
    <xf numFmtId="0" fontId="15" fillId="0" borderId="0" xfId="0" applyNumberFormat="1" applyFont="1" applyBorder="1" applyAlignment="1"/>
    <xf numFmtId="164" fontId="14" fillId="0" borderId="0" xfId="0" applyNumberFormat="1" applyFont="1" applyBorder="1" applyAlignment="1"/>
    <xf numFmtId="164" fontId="10" fillId="0" borderId="0" xfId="0" applyNumberFormat="1" applyFont="1" applyBorder="1" applyAlignment="1"/>
    <xf numFmtId="0" fontId="10" fillId="0" borderId="0" xfId="0" applyNumberFormat="1" applyFont="1" applyBorder="1"/>
    <xf numFmtId="0" fontId="10" fillId="0" borderId="0" xfId="0" applyNumberFormat="1" applyFont="1" applyAlignment="1">
      <alignment horizontal="left"/>
    </xf>
    <xf numFmtId="6" fontId="14" fillId="0" borderId="2" xfId="0" applyNumberFormat="1" applyFont="1" applyBorder="1" applyAlignment="1"/>
    <xf numFmtId="166" fontId="10" fillId="0" borderId="2" xfId="4" applyNumberFormat="1" applyFont="1" applyBorder="1" applyAlignment="1"/>
    <xf numFmtId="166" fontId="10" fillId="0" borderId="0" xfId="4" applyNumberFormat="1" applyFont="1" applyBorder="1" applyAlignment="1">
      <alignment horizontal="right"/>
    </xf>
    <xf numFmtId="10" fontId="10" fillId="0" borderId="0" xfId="0" applyNumberFormat="1" applyFont="1" applyAlignment="1"/>
    <xf numFmtId="166" fontId="10" fillId="0" borderId="0" xfId="4" applyNumberFormat="1" applyFont="1" applyBorder="1"/>
    <xf numFmtId="165" fontId="10" fillId="0" borderId="0" xfId="1" applyNumberFormat="1" applyFont="1" applyBorder="1"/>
    <xf numFmtId="6" fontId="10" fillId="0" borderId="0" xfId="0" applyNumberFormat="1" applyFont="1" applyAlignment="1"/>
    <xf numFmtId="164" fontId="14" fillId="0" borderId="2" xfId="0" applyNumberFormat="1" applyFont="1" applyBorder="1" applyAlignment="1"/>
    <xf numFmtId="6" fontId="14" fillId="0" borderId="6" xfId="0" applyNumberFormat="1" applyFont="1" applyBorder="1" applyAlignment="1"/>
    <xf numFmtId="165" fontId="10" fillId="0" borderId="1" xfId="1" applyNumberFormat="1" applyFont="1" applyBorder="1" applyAlignment="1"/>
    <xf numFmtId="6" fontId="17" fillId="0" borderId="6" xfId="0" applyNumberFormat="1" applyFont="1" applyBorder="1" applyAlignment="1">
      <alignment horizontal="right"/>
    </xf>
    <xf numFmtId="0" fontId="10" fillId="0" borderId="6" xfId="0" applyFont="1" applyBorder="1"/>
    <xf numFmtId="166" fontId="15" fillId="0" borderId="6" xfId="4" applyNumberFormat="1" applyFont="1" applyBorder="1" applyAlignment="1">
      <alignment horizontal="right"/>
    </xf>
    <xf numFmtId="166" fontId="10" fillId="0" borderId="6" xfId="4" applyNumberFormat="1" applyFont="1" applyBorder="1"/>
    <xf numFmtId="10" fontId="10" fillId="0" borderId="0" xfId="0" applyNumberFormat="1" applyFont="1"/>
    <xf numFmtId="6" fontId="17" fillId="0" borderId="2" xfId="0" applyNumberFormat="1" applyFont="1" applyBorder="1" applyAlignment="1">
      <alignment horizontal="right"/>
    </xf>
    <xf numFmtId="166" fontId="15" fillId="0" borderId="2" xfId="4" applyNumberFormat="1" applyFont="1" applyBorder="1" applyAlignment="1">
      <alignment horizontal="right"/>
    </xf>
    <xf numFmtId="6" fontId="17" fillId="0" borderId="0" xfId="0" applyNumberFormat="1" applyFont="1" applyBorder="1" applyAlignment="1">
      <alignment horizontal="right"/>
    </xf>
    <xf numFmtId="166" fontId="15" fillId="0" borderId="0" xfId="4" applyNumberFormat="1" applyFont="1" applyBorder="1" applyAlignment="1">
      <alignment horizontal="right"/>
    </xf>
    <xf numFmtId="166" fontId="10" fillId="0" borderId="0" xfId="4" applyNumberFormat="1" applyFont="1"/>
    <xf numFmtId="41" fontId="10" fillId="0" borderId="0" xfId="4" applyNumberFormat="1" applyFont="1"/>
    <xf numFmtId="41" fontId="10" fillId="0" borderId="0" xfId="4" applyNumberFormat="1" applyFont="1" applyBorder="1"/>
    <xf numFmtId="41" fontId="10" fillId="0" borderId="0" xfId="1" applyNumberFormat="1" applyFont="1"/>
    <xf numFmtId="41" fontId="10" fillId="0" borderId="0" xfId="1" applyNumberFormat="1" applyFont="1" applyBorder="1"/>
    <xf numFmtId="41" fontId="10" fillId="0" borderId="0" xfId="0" applyNumberFormat="1" applyFont="1" applyBorder="1"/>
    <xf numFmtId="41" fontId="10" fillId="0" borderId="1" xfId="4" applyNumberFormat="1" applyFont="1" applyBorder="1"/>
    <xf numFmtId="166" fontId="15" fillId="0" borderId="0" xfId="0" applyNumberFormat="1" applyFont="1" applyBorder="1"/>
    <xf numFmtId="0" fontId="15" fillId="0" borderId="0" xfId="0" applyFont="1" applyBorder="1"/>
    <xf numFmtId="6" fontId="10" fillId="0" borderId="0" xfId="0" applyNumberFormat="1" applyFont="1"/>
    <xf numFmtId="166" fontId="20" fillId="0" borderId="0" xfId="4" applyNumberFormat="1" applyFont="1" applyBorder="1" applyAlignment="1"/>
    <xf numFmtId="43" fontId="14" fillId="0" borderId="0" xfId="1" applyFont="1" applyAlignment="1"/>
    <xf numFmtId="166" fontId="15" fillId="0" borderId="0" xfId="4" applyNumberFormat="1" applyFont="1" applyAlignment="1"/>
    <xf numFmtId="166" fontId="15" fillId="0" borderId="0" xfId="4" applyNumberFormat="1" applyFont="1" applyBorder="1"/>
    <xf numFmtId="6" fontId="14" fillId="0" borderId="8" xfId="0" applyNumberFormat="1" applyFont="1" applyBorder="1"/>
    <xf numFmtId="6" fontId="10" fillId="0" borderId="8" xfId="0" applyNumberFormat="1" applyFont="1" applyBorder="1"/>
    <xf numFmtId="6" fontId="15" fillId="0" borderId="8" xfId="0" applyNumberFormat="1" applyFont="1" applyBorder="1" applyAlignment="1"/>
    <xf numFmtId="0" fontId="10" fillId="0" borderId="0" xfId="0" applyNumberFormat="1" applyFont="1" applyAlignment="1">
      <alignment horizontal="center"/>
    </xf>
    <xf numFmtId="10" fontId="17" fillId="0" borderId="0" xfId="0" applyNumberFormat="1" applyFont="1" applyAlignment="1"/>
    <xf numFmtId="10" fontId="15" fillId="0" borderId="0" xfId="0" applyNumberFormat="1" applyFont="1" applyAlignment="1"/>
    <xf numFmtId="38" fontId="14" fillId="0" borderId="0" xfId="0" applyNumberFormat="1" applyFont="1" applyAlignment="1"/>
    <xf numFmtId="165" fontId="14" fillId="0" borderId="0" xfId="1" applyNumberFormat="1" applyFont="1" applyAlignment="1">
      <alignment horizontal="right"/>
    </xf>
    <xf numFmtId="0" fontId="14" fillId="0" borderId="0" xfId="0" applyNumberFormat="1" applyFont="1"/>
    <xf numFmtId="38" fontId="10" fillId="0" borderId="0" xfId="0" applyNumberFormat="1" applyFont="1" applyAlignment="1"/>
    <xf numFmtId="37" fontId="10" fillId="0" borderId="0" xfId="0" applyNumberFormat="1" applyFont="1"/>
    <xf numFmtId="38" fontId="10" fillId="0" borderId="0" xfId="0" applyNumberFormat="1" applyFont="1"/>
    <xf numFmtId="0" fontId="14" fillId="0" borderId="0" xfId="0" applyNumberFormat="1" applyFont="1" applyBorder="1" applyAlignment="1"/>
    <xf numFmtId="43" fontId="14" fillId="0" borderId="0" xfId="1" applyFont="1" applyAlignment="1">
      <alignment horizontal="right"/>
    </xf>
    <xf numFmtId="165" fontId="10" fillId="0" borderId="0" xfId="1" applyNumberFormat="1" applyFont="1" applyAlignment="1">
      <alignment horizontal="right"/>
    </xf>
    <xf numFmtId="6" fontId="14" fillId="0" borderId="0" xfId="0" applyNumberFormat="1" applyFont="1" applyBorder="1" applyAlignment="1"/>
    <xf numFmtId="6" fontId="10" fillId="0" borderId="0" xfId="0" applyNumberFormat="1" applyFont="1" applyBorder="1" applyAlignment="1"/>
    <xf numFmtId="165" fontId="14" fillId="0" borderId="0" xfId="1" applyNumberFormat="1" applyFont="1" applyAlignment="1"/>
    <xf numFmtId="43" fontId="10" fillId="0" borderId="0" xfId="1" applyFont="1" applyAlignment="1">
      <alignment horizontal="right"/>
    </xf>
    <xf numFmtId="6" fontId="10" fillId="0" borderId="2" xfId="0" applyNumberFormat="1" applyFont="1" applyBorder="1" applyAlignment="1"/>
    <xf numFmtId="165" fontId="10" fillId="0" borderId="2" xfId="1" applyNumberFormat="1" applyFont="1" applyBorder="1" applyAlignment="1"/>
    <xf numFmtId="166" fontId="15" fillId="0" borderId="7" xfId="4" applyNumberFormat="1" applyFont="1" applyBorder="1" applyAlignment="1">
      <alignment horizontal="right"/>
    </xf>
    <xf numFmtId="165" fontId="10" fillId="0" borderId="1" xfId="1" applyNumberFormat="1" applyFont="1" applyBorder="1"/>
    <xf numFmtId="166" fontId="10" fillId="0" borderId="0" xfId="0" applyNumberFormat="1" applyFont="1" applyBorder="1"/>
    <xf numFmtId="0" fontId="15" fillId="0" borderId="0" xfId="0" applyNumberFormat="1" applyFont="1" applyAlignment="1">
      <alignment wrapText="1"/>
    </xf>
    <xf numFmtId="0" fontId="13" fillId="0" borderId="0" xfId="0" applyNumberFormat="1" applyFont="1" applyAlignment="1">
      <alignment wrapText="1"/>
    </xf>
    <xf numFmtId="0" fontId="1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NumberFormat="1" applyFont="1" applyAlignment="1">
      <alignment wrapText="1"/>
    </xf>
    <xf numFmtId="0" fontId="15" fillId="0" borderId="0" xfId="0" applyNumberFormat="1" applyFont="1" applyAlignment="1">
      <alignment horizontal="center" wrapText="1"/>
    </xf>
    <xf numFmtId="0" fontId="13" fillId="0" borderId="2" xfId="0" applyNumberFormat="1" applyFont="1" applyBorder="1" applyAlignment="1">
      <alignment wrapText="1"/>
    </xf>
    <xf numFmtId="0" fontId="15" fillId="0" borderId="0" xfId="0" applyNumberFormat="1" applyFont="1" applyAlignment="1">
      <alignment horizontal="left" wrapText="1"/>
    </xf>
    <xf numFmtId="166" fontId="13" fillId="0" borderId="1" xfId="4" applyNumberFormat="1" applyFont="1" applyBorder="1" applyAlignment="1">
      <alignment horizontal="right"/>
    </xf>
    <xf numFmtId="10" fontId="14" fillId="0" borderId="0" xfId="0" applyNumberFormat="1" applyFont="1" applyBorder="1" applyAlignment="1"/>
    <xf numFmtId="3" fontId="13" fillId="0" borderId="0" xfId="0" applyNumberFormat="1" applyFont="1" applyBorder="1" applyAlignment="1"/>
    <xf numFmtId="166" fontId="13" fillId="0" borderId="0" xfId="4" applyNumberFormat="1" applyFont="1" applyBorder="1" applyAlignment="1"/>
    <xf numFmtId="166" fontId="16" fillId="0" borderId="0" xfId="4" applyNumberFormat="1" applyFont="1" applyBorder="1" applyAlignment="1">
      <alignment horizontal="right"/>
    </xf>
    <xf numFmtId="0" fontId="11" fillId="0" borderId="0" xfId="0" applyFont="1" applyBorder="1"/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0" xfId="0" applyFont="1" applyBorder="1"/>
    <xf numFmtId="0" fontId="27" fillId="0" borderId="0" xfId="0" applyFont="1" applyFill="1" applyBorder="1"/>
    <xf numFmtId="0" fontId="15" fillId="0" borderId="0" xfId="6" applyNumberFormat="1" applyFont="1" applyAlignment="1">
      <alignment horizontal="center"/>
    </xf>
    <xf numFmtId="0" fontId="15" fillId="0" borderId="0" xfId="6" applyNumberFormat="1" applyFont="1" applyBorder="1" applyAlignment="1">
      <alignment horizontal="center"/>
    </xf>
    <xf numFmtId="0" fontId="15" fillId="0" borderId="0" xfId="6" applyFont="1" applyAlignment="1">
      <alignment horizontal="center"/>
    </xf>
    <xf numFmtId="0" fontId="10" fillId="0" borderId="0" xfId="6" applyFont="1"/>
    <xf numFmtId="0" fontId="10" fillId="0" borderId="0" xfId="6" applyFont="1" applyAlignment="1">
      <alignment wrapText="1"/>
    </xf>
    <xf numFmtId="0" fontId="15" fillId="0" borderId="0" xfId="6" applyNumberFormat="1" applyFont="1" applyAlignment="1"/>
    <xf numFmtId="0" fontId="15" fillId="0" borderId="0" xfId="6" applyNumberFormat="1" applyFont="1" applyBorder="1" applyAlignment="1"/>
    <xf numFmtId="0" fontId="15" fillId="0" borderId="0" xfId="6" applyNumberFormat="1" applyFont="1" applyFill="1" applyBorder="1" applyAlignment="1"/>
    <xf numFmtId="0" fontId="15" fillId="0" borderId="0" xfId="6" applyFont="1" applyAlignment="1">
      <alignment horizontal="center" wrapText="1"/>
    </xf>
    <xf numFmtId="49" fontId="15" fillId="0" borderId="0" xfId="6" applyNumberFormat="1" applyFont="1" applyAlignment="1">
      <alignment horizontal="center"/>
    </xf>
    <xf numFmtId="0" fontId="15" fillId="0" borderId="0" xfId="6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5" fillId="0" borderId="0" xfId="6" applyNumberFormat="1" applyFont="1" applyAlignment="1">
      <alignment horizontal="center" wrapText="1"/>
    </xf>
    <xf numFmtId="0" fontId="15" fillId="0" borderId="0" xfId="6" applyNumberFormat="1" applyFont="1" applyBorder="1" applyAlignment="1">
      <alignment horizontal="center" wrapText="1"/>
    </xf>
    <xf numFmtId="0" fontId="15" fillId="0" borderId="0" xfId="6" applyNumberFormat="1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165" fontId="10" fillId="0" borderId="0" xfId="1" applyNumberFormat="1" applyFont="1" applyFill="1"/>
    <xf numFmtId="0" fontId="10" fillId="0" borderId="0" xfId="1" applyNumberFormat="1" applyFont="1" applyFill="1" applyAlignment="1">
      <alignment vertical="top" wrapText="1"/>
    </xf>
    <xf numFmtId="165" fontId="10" fillId="0" borderId="2" xfId="1" applyNumberFormat="1" applyFont="1" applyFill="1" applyBorder="1" applyAlignment="1"/>
    <xf numFmtId="165" fontId="10" fillId="0" borderId="0" xfId="1" applyNumberFormat="1" applyFont="1" applyFill="1" applyBorder="1" applyAlignment="1"/>
    <xf numFmtId="165" fontId="27" fillId="0" borderId="0" xfId="1" applyNumberFormat="1" applyFont="1" applyFill="1"/>
    <xf numFmtId="0" fontId="10" fillId="0" borderId="0" xfId="6" applyFont="1" applyFill="1"/>
    <xf numFmtId="0" fontId="10" fillId="0" borderId="0" xfId="6" applyFont="1" applyFill="1" applyAlignment="1">
      <alignment vertical="top" wrapText="1"/>
    </xf>
    <xf numFmtId="9" fontId="10" fillId="0" borderId="0" xfId="6" applyNumberFormat="1" applyFont="1" applyFill="1" applyBorder="1" applyAlignment="1"/>
    <xf numFmtId="0" fontId="10" fillId="0" borderId="0" xfId="6" applyNumberFormat="1" applyFont="1" applyFill="1" applyBorder="1" applyAlignment="1"/>
    <xf numFmtId="9" fontId="27" fillId="0" borderId="0" xfId="0" applyNumberFormat="1" applyFont="1" applyFill="1"/>
    <xf numFmtId="0" fontId="10" fillId="0" borderId="0" xfId="7" applyFont="1" applyFill="1"/>
    <xf numFmtId="0" fontId="10" fillId="0" borderId="0" xfId="7" applyFont="1" applyFill="1" applyAlignment="1">
      <alignment wrapText="1"/>
    </xf>
    <xf numFmtId="0" fontId="10" fillId="0" borderId="0" xfId="7" applyFont="1" applyFill="1" applyAlignment="1">
      <alignment horizontal="center"/>
    </xf>
    <xf numFmtId="41" fontId="10" fillId="0" borderId="0" xfId="7" applyNumberFormat="1" applyFont="1" applyFill="1" applyBorder="1"/>
    <xf numFmtId="0" fontId="15" fillId="0" borderId="0" xfId="7" applyFont="1" applyFill="1"/>
    <xf numFmtId="41" fontId="10" fillId="0" borderId="0" xfId="7" applyNumberFormat="1" applyFont="1"/>
    <xf numFmtId="41" fontId="10" fillId="0" borderId="0" xfId="7" applyNumberFormat="1" applyFont="1" applyFill="1"/>
    <xf numFmtId="0" fontId="10" fillId="0" borderId="0" xfId="7" applyFont="1"/>
    <xf numFmtId="0" fontId="10" fillId="0" borderId="0" xfId="7" applyFont="1" applyAlignment="1">
      <alignment wrapText="1"/>
    </xf>
    <xf numFmtId="0" fontId="10" fillId="0" borderId="0" xfId="7" applyFont="1" applyAlignment="1">
      <alignment horizontal="center"/>
    </xf>
    <xf numFmtId="41" fontId="27" fillId="0" borderId="0" xfId="0" applyNumberFormat="1" applyFont="1"/>
    <xf numFmtId="41" fontId="27" fillId="0" borderId="0" xfId="0" applyNumberFormat="1" applyFont="1" applyBorder="1"/>
    <xf numFmtId="9" fontId="10" fillId="0" borderId="1" xfId="6" applyNumberFormat="1" applyFont="1" applyFill="1" applyBorder="1" applyAlignment="1"/>
    <xf numFmtId="9" fontId="27" fillId="0" borderId="1" xfId="0" applyNumberFormat="1" applyFont="1" applyFill="1" applyBorder="1"/>
    <xf numFmtId="165" fontId="10" fillId="0" borderId="0" xfId="7" applyNumberFormat="1" applyFont="1" applyBorder="1"/>
    <xf numFmtId="0" fontId="10" fillId="0" borderId="0" xfId="6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5" fillId="0" borderId="0" xfId="6" applyFont="1" applyFill="1"/>
    <xf numFmtId="0" fontId="15" fillId="0" borderId="0" xfId="6" applyFont="1" applyFill="1" applyAlignment="1">
      <alignment vertical="top" wrapText="1"/>
    </xf>
    <xf numFmtId="3" fontId="15" fillId="0" borderId="9" xfId="6" applyNumberFormat="1" applyFont="1" applyFill="1" applyBorder="1" applyAlignment="1"/>
    <xf numFmtId="9" fontId="15" fillId="0" borderId="0" xfId="6" applyNumberFormat="1" applyFont="1" applyFill="1" applyBorder="1" applyAlignment="1"/>
    <xf numFmtId="9" fontId="28" fillId="0" borderId="0" xfId="0" applyNumberFormat="1" applyFont="1" applyFill="1"/>
    <xf numFmtId="0" fontId="26" fillId="0" borderId="0" xfId="0" applyFont="1"/>
    <xf numFmtId="0" fontId="21" fillId="0" borderId="0" xfId="6" applyNumberFormat="1" applyFont="1" applyAlignment="1">
      <alignment horizontal="center"/>
    </xf>
    <xf numFmtId="0" fontId="29" fillId="0" borderId="0" xfId="0" applyFont="1"/>
    <xf numFmtId="0" fontId="14" fillId="0" borderId="0" xfId="6" applyFont="1"/>
    <xf numFmtId="0" fontId="15" fillId="0" borderId="0" xfId="6" applyFont="1"/>
    <xf numFmtId="0" fontId="10" fillId="0" borderId="2" xfId="6" applyNumberFormat="1" applyFont="1" applyBorder="1" applyAlignment="1"/>
    <xf numFmtId="0" fontId="10" fillId="0" borderId="0" xfId="6" applyNumberFormat="1" applyFont="1" applyBorder="1" applyAlignment="1"/>
    <xf numFmtId="176" fontId="10" fillId="0" borderId="10" xfId="6" applyNumberFormat="1" applyFont="1" applyBorder="1" applyAlignment="1"/>
    <xf numFmtId="0" fontId="15" fillId="0" borderId="0" xfId="6" applyNumberFormat="1" applyFont="1" applyAlignment="1">
      <alignment horizontal="left"/>
    </xf>
    <xf numFmtId="0" fontId="14" fillId="0" borderId="0" xfId="6" applyFont="1" applyAlignment="1">
      <alignment wrapText="1"/>
    </xf>
    <xf numFmtId="0" fontId="10" fillId="0" borderId="0" xfId="6" applyNumberFormat="1" applyFont="1" applyAlignment="1"/>
    <xf numFmtId="166" fontId="10" fillId="0" borderId="0" xfId="5" applyNumberFormat="1" applyFont="1" applyAlignment="1"/>
    <xf numFmtId="165" fontId="10" fillId="0" borderId="0" xfId="2" applyNumberFormat="1" applyFont="1" applyAlignment="1">
      <alignment horizontal="right"/>
    </xf>
    <xf numFmtId="165" fontId="10" fillId="0" borderId="0" xfId="2" applyNumberFormat="1" applyFont="1" applyAlignment="1"/>
    <xf numFmtId="165" fontId="10" fillId="0" borderId="0" xfId="2" applyNumberFormat="1" applyFont="1" applyBorder="1" applyAlignment="1">
      <alignment horizontal="right"/>
    </xf>
    <xf numFmtId="165" fontId="10" fillId="0" borderId="0" xfId="2" applyNumberFormat="1" applyFont="1" applyBorder="1" applyAlignment="1"/>
    <xf numFmtId="165" fontId="10" fillId="0" borderId="1" xfId="2" applyNumberFormat="1" applyFont="1" applyBorder="1" applyAlignment="1">
      <alignment horizontal="right"/>
    </xf>
    <xf numFmtId="0" fontId="22" fillId="0" borderId="0" xfId="6" applyNumberFormat="1" applyFont="1" applyAlignment="1">
      <alignment horizontal="center" wrapText="1"/>
    </xf>
    <xf numFmtId="166" fontId="10" fillId="0" borderId="3" xfId="5" applyNumberFormat="1" applyFont="1" applyBorder="1" applyAlignment="1"/>
    <xf numFmtId="166" fontId="10" fillId="0" borderId="0" xfId="5" applyNumberFormat="1" applyFont="1" applyBorder="1" applyAlignment="1"/>
    <xf numFmtId="42" fontId="10" fillId="0" borderId="0" xfId="6" applyNumberFormat="1" applyFont="1" applyBorder="1" applyAlignment="1"/>
    <xf numFmtId="42" fontId="10" fillId="0" borderId="0" xfId="6" applyNumberFormat="1" applyFont="1" applyAlignment="1"/>
    <xf numFmtId="165" fontId="10" fillId="0" borderId="1" xfId="6" applyNumberFormat="1" applyFont="1" applyBorder="1" applyAlignment="1">
      <alignment horizontal="right"/>
    </xf>
    <xf numFmtId="165" fontId="10" fillId="0" borderId="0" xfId="6" applyNumberFormat="1" applyFont="1" applyBorder="1" applyAlignment="1"/>
    <xf numFmtId="166" fontId="10" fillId="0" borderId="6" xfId="5" applyNumberFormat="1" applyFont="1" applyBorder="1" applyAlignment="1"/>
    <xf numFmtId="166" fontId="10" fillId="0" borderId="11" xfId="5" applyNumberFormat="1" applyFont="1" applyBorder="1" applyAlignment="1">
      <alignment horizontal="right"/>
    </xf>
    <xf numFmtId="166" fontId="10" fillId="0" borderId="0" xfId="5" applyNumberFormat="1" applyFont="1" applyBorder="1" applyAlignment="1">
      <alignment horizontal="right"/>
    </xf>
    <xf numFmtId="0" fontId="30" fillId="0" borderId="0" xfId="0" applyFont="1"/>
    <xf numFmtId="165" fontId="14" fillId="0" borderId="0" xfId="2" applyNumberFormat="1" applyFont="1"/>
    <xf numFmtId="165" fontId="10" fillId="0" borderId="0" xfId="2" applyNumberFormat="1" applyFont="1" applyBorder="1"/>
    <xf numFmtId="0" fontId="28" fillId="0" borderId="0" xfId="0" applyFont="1"/>
    <xf numFmtId="42" fontId="27" fillId="0" borderId="0" xfId="0" applyNumberFormat="1" applyFont="1"/>
    <xf numFmtId="165" fontId="14" fillId="0" borderId="0" xfId="6" applyNumberFormat="1" applyFont="1"/>
    <xf numFmtId="0" fontId="10" fillId="0" borderId="0" xfId="6" applyFont="1" applyBorder="1"/>
    <xf numFmtId="42" fontId="10" fillId="0" borderId="9" xfId="6" applyNumberFormat="1" applyFont="1" applyBorder="1"/>
    <xf numFmtId="10" fontId="14" fillId="0" borderId="0" xfId="10" applyNumberFormat="1" applyFont="1"/>
    <xf numFmtId="0" fontId="14" fillId="0" borderId="0" xfId="6" applyFont="1" applyAlignment="1"/>
    <xf numFmtId="0" fontId="22" fillId="0" borderId="0" xfId="6" applyNumberFormat="1" applyFont="1" applyAlignment="1">
      <alignment horizontal="center"/>
    </xf>
    <xf numFmtId="0" fontId="23" fillId="0" borderId="0" xfId="6" applyNumberFormat="1" applyFont="1" applyAlignment="1"/>
    <xf numFmtId="0" fontId="30" fillId="0" borderId="0" xfId="0" applyFont="1" applyAlignment="1"/>
    <xf numFmtId="166" fontId="10" fillId="0" borderId="0" xfId="10" applyNumberFormat="1" applyFont="1"/>
    <xf numFmtId="42" fontId="31" fillId="0" borderId="0" xfId="0" applyNumberFormat="1" applyFont="1"/>
    <xf numFmtId="0" fontId="15" fillId="0" borderId="10" xfId="6" applyNumberFormat="1" applyFont="1" applyBorder="1" applyAlignment="1">
      <alignment horizontal="center" wrapText="1"/>
    </xf>
    <xf numFmtId="166" fontId="10" fillId="0" borderId="1" xfId="4" applyNumberFormat="1" applyFont="1" applyBorder="1"/>
    <xf numFmtId="0" fontId="0" fillId="0" borderId="0" xfId="0"/>
    <xf numFmtId="4" fontId="0" fillId="0" borderId="0" xfId="0" applyNumberFormat="1"/>
    <xf numFmtId="49" fontId="10" fillId="0" borderId="0" xfId="0" applyNumberFormat="1" applyFont="1" applyAlignment="1"/>
    <xf numFmtId="49" fontId="10" fillId="0" borderId="0" xfId="0" applyNumberFormat="1" applyFont="1"/>
    <xf numFmtId="49" fontId="15" fillId="0" borderId="0" xfId="0" applyNumberFormat="1" applyFont="1" applyAlignment="1"/>
    <xf numFmtId="166" fontId="10" fillId="0" borderId="0" xfId="4" applyNumberFormat="1" applyFont="1" applyFill="1" applyAlignment="1"/>
    <xf numFmtId="165" fontId="10" fillId="0" borderId="0" xfId="1" applyNumberFormat="1" applyFont="1" applyFill="1" applyAlignment="1"/>
    <xf numFmtId="0" fontId="15" fillId="0" borderId="0" xfId="0" applyFont="1" applyAlignment="1">
      <alignment horizontal="center"/>
    </xf>
    <xf numFmtId="10" fontId="2" fillId="0" borderId="0" xfId="9" applyNumberFormat="1" applyFont="1" applyAlignment="1"/>
    <xf numFmtId="41" fontId="10" fillId="0" borderId="0" xfId="4" applyNumberFormat="1" applyFont="1" applyAlignment="1"/>
    <xf numFmtId="178" fontId="24" fillId="0" borderId="0" xfId="2" applyNumberFormat="1" applyFont="1" applyBorder="1"/>
    <xf numFmtId="178" fontId="10" fillId="0" borderId="0" xfId="2" applyNumberFormat="1" applyFont="1" applyBorder="1"/>
    <xf numFmtId="0" fontId="15" fillId="0" borderId="0" xfId="0" applyFont="1" applyAlignment="1">
      <alignment vertical="top"/>
    </xf>
    <xf numFmtId="178" fontId="15" fillId="0" borderId="0" xfId="3" applyNumberFormat="1" applyFont="1" applyAlignment="1">
      <alignment vertical="top"/>
    </xf>
    <xf numFmtId="41" fontId="15" fillId="0" borderId="0" xfId="0" applyNumberFormat="1" applyFont="1" applyBorder="1" applyAlignment="1">
      <alignment vertical="top"/>
    </xf>
    <xf numFmtId="41" fontId="10" fillId="0" borderId="1" xfId="1" applyNumberFormat="1" applyFont="1" applyBorder="1"/>
    <xf numFmtId="0" fontId="15" fillId="0" borderId="0" xfId="0" applyFont="1" applyAlignment="1"/>
    <xf numFmtId="166" fontId="10" fillId="0" borderId="1" xfId="4" applyNumberFormat="1" applyFont="1" applyBorder="1" applyAlignment="1"/>
    <xf numFmtId="0" fontId="15" fillId="0" borderId="12" xfId="6" applyNumberFormat="1" applyFont="1" applyBorder="1" applyAlignment="1">
      <alignment horizontal="center" wrapText="1"/>
    </xf>
    <xf numFmtId="176" fontId="10" fillId="0" borderId="12" xfId="6" applyNumberFormat="1" applyFont="1" applyBorder="1" applyAlignment="1"/>
    <xf numFmtId="0" fontId="10" fillId="0" borderId="13" xfId="6" applyNumberFormat="1" applyFont="1" applyBorder="1" applyAlignment="1"/>
    <xf numFmtId="166" fontId="10" fillId="0" borderId="13" xfId="5" applyNumberFormat="1" applyFont="1" applyBorder="1" applyAlignment="1"/>
    <xf numFmtId="165" fontId="10" fillId="0" borderId="14" xfId="2" applyNumberFormat="1" applyFont="1" applyBorder="1" applyAlignment="1">
      <alignment horizontal="right"/>
    </xf>
    <xf numFmtId="165" fontId="10" fillId="0" borderId="13" xfId="2" applyNumberFormat="1" applyFont="1" applyBorder="1" applyAlignment="1">
      <alignment horizontal="right"/>
    </xf>
    <xf numFmtId="166" fontId="10" fillId="0" borderId="15" xfId="5" applyNumberFormat="1" applyFont="1" applyBorder="1" applyAlignment="1"/>
    <xf numFmtId="42" fontId="10" fillId="0" borderId="13" xfId="6" applyNumberFormat="1" applyFont="1" applyBorder="1" applyAlignment="1"/>
    <xf numFmtId="165" fontId="10" fillId="0" borderId="13" xfId="2" applyNumberFormat="1" applyFont="1" applyBorder="1" applyAlignment="1"/>
    <xf numFmtId="165" fontId="10" fillId="0" borderId="14" xfId="6" applyNumberFormat="1" applyFont="1" applyBorder="1" applyAlignment="1">
      <alignment horizontal="right"/>
    </xf>
    <xf numFmtId="166" fontId="10" fillId="0" borderId="5" xfId="5" applyNumberFormat="1" applyFont="1" applyBorder="1" applyAlignment="1"/>
    <xf numFmtId="166" fontId="10" fillId="0" borderId="13" xfId="5" applyNumberFormat="1" applyFont="1" applyBorder="1" applyAlignment="1">
      <alignment horizontal="right"/>
    </xf>
    <xf numFmtId="42" fontId="27" fillId="0" borderId="13" xfId="0" applyNumberFormat="1" applyFont="1" applyBorder="1"/>
    <xf numFmtId="42" fontId="10" fillId="0" borderId="16" xfId="6" applyNumberFormat="1" applyFont="1" applyBorder="1"/>
    <xf numFmtId="166" fontId="10" fillId="0" borderId="13" xfId="10" applyNumberFormat="1" applyFont="1" applyBorder="1"/>
    <xf numFmtId="0" fontId="27" fillId="0" borderId="13" xfId="0" applyFont="1" applyBorder="1"/>
    <xf numFmtId="42" fontId="31" fillId="0" borderId="13" xfId="0" applyNumberFormat="1" applyFont="1" applyBorder="1"/>
    <xf numFmtId="166" fontId="10" fillId="0" borderId="1" xfId="5" applyNumberFormat="1" applyFont="1" applyBorder="1" applyAlignment="1">
      <alignment horizontal="right"/>
    </xf>
    <xf numFmtId="166" fontId="10" fillId="0" borderId="14" xfId="5" applyNumberFormat="1" applyFont="1" applyBorder="1" applyAlignment="1">
      <alignment horizontal="right"/>
    </xf>
    <xf numFmtId="41" fontId="10" fillId="0" borderId="1" xfId="5" applyNumberFormat="1" applyFont="1" applyBorder="1" applyAlignment="1">
      <alignment horizontal="right"/>
    </xf>
    <xf numFmtId="166" fontId="10" fillId="0" borderId="6" xfId="5" applyNumberFormat="1" applyFont="1" applyBorder="1" applyAlignment="1">
      <alignment horizontal="right"/>
    </xf>
    <xf numFmtId="41" fontId="10" fillId="0" borderId="1" xfId="2" applyNumberFormat="1" applyFont="1" applyBorder="1"/>
    <xf numFmtId="41" fontId="10" fillId="0" borderId="14" xfId="2" applyNumberFormat="1" applyFont="1" applyBorder="1"/>
    <xf numFmtId="166" fontId="10" fillId="0" borderId="5" xfId="5" applyNumberFormat="1" applyFont="1" applyBorder="1" applyAlignment="1">
      <alignment horizontal="right"/>
    </xf>
    <xf numFmtId="9" fontId="25" fillId="0" borderId="0" xfId="9" applyFont="1"/>
    <xf numFmtId="166" fontId="10" fillId="0" borderId="1" xfId="4" applyNumberFormat="1" applyFont="1" applyFill="1" applyBorder="1" applyAlignment="1"/>
    <xf numFmtId="166" fontId="10" fillId="0" borderId="0" xfId="4" applyNumberFormat="1" applyFont="1" applyAlignment="1">
      <alignment horizontal="right"/>
    </xf>
    <xf numFmtId="166" fontId="10" fillId="0" borderId="2" xfId="0" applyNumberFormat="1" applyFont="1" applyBorder="1" applyAlignment="1"/>
    <xf numFmtId="42" fontId="10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166" fontId="10" fillId="0" borderId="0" xfId="1" applyNumberFormat="1" applyFont="1"/>
    <xf numFmtId="166" fontId="10" fillId="0" borderId="2" xfId="1" applyNumberFormat="1" applyFont="1" applyBorder="1" applyAlignment="1"/>
    <xf numFmtId="41" fontId="10" fillId="0" borderId="0" xfId="4" applyNumberFormat="1" applyFont="1" applyBorder="1" applyAlignment="1"/>
    <xf numFmtId="41" fontId="10" fillId="0" borderId="0" xfId="1" applyNumberFormat="1" applyFont="1" applyBorder="1" applyAlignment="1"/>
    <xf numFmtId="41" fontId="10" fillId="0" borderId="0" xfId="1" applyNumberFormat="1" applyFont="1" applyBorder="1" applyAlignment="1">
      <alignment horizontal="right"/>
    </xf>
    <xf numFmtId="9" fontId="15" fillId="0" borderId="0" xfId="9" applyFont="1" applyAlignment="1"/>
    <xf numFmtId="177" fontId="16" fillId="0" borderId="0" xfId="0" applyNumberFormat="1" applyFont="1" applyBorder="1" applyAlignment="1"/>
    <xf numFmtId="177" fontId="16" fillId="0" borderId="0" xfId="0" applyNumberFormat="1" applyFont="1" applyAlignment="1"/>
    <xf numFmtId="177" fontId="14" fillId="0" borderId="0" xfId="0" applyNumberFormat="1" applyFont="1" applyAlignment="1"/>
    <xf numFmtId="177" fontId="15" fillId="0" borderId="0" xfId="0" applyNumberFormat="1" applyFont="1" applyAlignment="1">
      <alignment horizontal="center"/>
    </xf>
    <xf numFmtId="177" fontId="13" fillId="0" borderId="2" xfId="0" applyNumberFormat="1" applyFont="1" applyBorder="1" applyAlignment="1"/>
    <xf numFmtId="177" fontId="13" fillId="0" borderId="0" xfId="0" applyNumberFormat="1" applyFont="1" applyAlignment="1">
      <alignment wrapText="1"/>
    </xf>
    <xf numFmtId="177" fontId="13" fillId="0" borderId="0" xfId="0" applyNumberFormat="1" applyFont="1" applyAlignment="1"/>
    <xf numFmtId="177" fontId="17" fillId="0" borderId="0" xfId="0" applyNumberFormat="1" applyFont="1" applyAlignment="1"/>
    <xf numFmtId="177" fontId="11" fillId="0" borderId="0" xfId="0" applyNumberFormat="1" applyFont="1"/>
    <xf numFmtId="10" fontId="2" fillId="0" borderId="0" xfId="9" applyNumberFormat="1" applyFont="1"/>
    <xf numFmtId="10" fontId="2" fillId="0" borderId="0" xfId="9" applyNumberFormat="1" applyFont="1" applyBorder="1"/>
    <xf numFmtId="0" fontId="15" fillId="0" borderId="0" xfId="6" applyNumberFormat="1" applyFont="1" applyAlignment="1">
      <alignment wrapText="1"/>
    </xf>
    <xf numFmtId="0" fontId="10" fillId="0" borderId="0" xfId="6" applyNumberFormat="1" applyFont="1" applyAlignment="1">
      <alignment wrapText="1"/>
    </xf>
    <xf numFmtId="0" fontId="23" fillId="0" borderId="0" xfId="6" applyNumberFormat="1" applyFont="1" applyAlignment="1">
      <alignment wrapText="1"/>
    </xf>
    <xf numFmtId="0" fontId="15" fillId="0" borderId="0" xfId="6" applyNumberFormat="1" applyFont="1" applyAlignment="1">
      <alignment horizontal="left" wrapText="1"/>
    </xf>
    <xf numFmtId="41" fontId="10" fillId="0" borderId="0" xfId="5" applyNumberFormat="1" applyFont="1" applyAlignment="1"/>
    <xf numFmtId="166" fontId="10" fillId="0" borderId="0" xfId="6" applyNumberFormat="1" applyFont="1" applyAlignment="1"/>
    <xf numFmtId="166" fontId="10" fillId="0" borderId="0" xfId="6" applyNumberFormat="1" applyFont="1" applyBorder="1" applyAlignment="1"/>
    <xf numFmtId="41" fontId="15" fillId="0" borderId="0" xfId="6" applyNumberFormat="1" applyFont="1" applyAlignment="1"/>
    <xf numFmtId="41" fontId="15" fillId="0" borderId="0" xfId="6" applyNumberFormat="1" applyFont="1" applyAlignment="1">
      <alignment horizontal="center"/>
    </xf>
    <xf numFmtId="41" fontId="10" fillId="0" borderId="0" xfId="2" applyNumberFormat="1" applyFont="1" applyAlignment="1"/>
    <xf numFmtId="41" fontId="10" fillId="0" borderId="0" xfId="2" applyNumberFormat="1" applyFont="1" applyAlignment="1">
      <alignment horizontal="right"/>
    </xf>
    <xf numFmtId="41" fontId="10" fillId="0" borderId="0" xfId="2" applyNumberFormat="1" applyFont="1" applyBorder="1" applyAlignment="1"/>
    <xf numFmtId="41" fontId="10" fillId="0" borderId="0" xfId="2" applyNumberFormat="1" applyFont="1" applyBorder="1" applyAlignment="1">
      <alignment horizontal="right"/>
    </xf>
    <xf numFmtId="41" fontId="10" fillId="0" borderId="1" xfId="2" applyNumberFormat="1" applyFont="1" applyBorder="1" applyAlignment="1"/>
    <xf numFmtId="41" fontId="10" fillId="0" borderId="0" xfId="6" applyNumberFormat="1" applyFont="1" applyBorder="1" applyAlignment="1"/>
    <xf numFmtId="41" fontId="10" fillId="0" borderId="1" xfId="6" applyNumberFormat="1" applyFont="1" applyBorder="1" applyAlignment="1">
      <alignment horizontal="right"/>
    </xf>
    <xf numFmtId="41" fontId="10" fillId="0" borderId="0" xfId="6" applyNumberFormat="1" applyFont="1" applyBorder="1" applyAlignment="1">
      <alignment horizontal="right"/>
    </xf>
    <xf numFmtId="0" fontId="27" fillId="0" borderId="0" xfId="0" applyFont="1" applyAlignment="1"/>
    <xf numFmtId="41" fontId="10" fillId="0" borderId="1" xfId="8" applyNumberFormat="1" applyFont="1" applyBorder="1" applyAlignment="1"/>
    <xf numFmtId="166" fontId="27" fillId="0" borderId="0" xfId="0" applyNumberFormat="1" applyFont="1" applyAlignment="1"/>
    <xf numFmtId="166" fontId="27" fillId="0" borderId="0" xfId="0" applyNumberFormat="1" applyFont="1" applyBorder="1" applyAlignment="1"/>
    <xf numFmtId="41" fontId="27" fillId="0" borderId="0" xfId="0" applyNumberFormat="1" applyFont="1" applyAlignment="1"/>
    <xf numFmtId="166" fontId="10" fillId="0" borderId="3" xfId="4" applyNumberFormat="1" applyFont="1" applyBorder="1" applyAlignment="1"/>
    <xf numFmtId="0" fontId="28" fillId="0" borderId="0" xfId="0" applyFont="1" applyAlignment="1"/>
    <xf numFmtId="166" fontId="28" fillId="0" borderId="0" xfId="0" applyNumberFormat="1" applyFont="1" applyAlignment="1"/>
    <xf numFmtId="41" fontId="28" fillId="0" borderId="0" xfId="0" applyNumberFormat="1" applyFont="1" applyAlignment="1"/>
    <xf numFmtId="166" fontId="27" fillId="0" borderId="11" xfId="0" applyNumberFormat="1" applyFont="1" applyBorder="1" applyAlignment="1"/>
    <xf numFmtId="41" fontId="27" fillId="0" borderId="1" xfId="0" applyNumberFormat="1" applyFont="1" applyBorder="1" applyAlignment="1"/>
    <xf numFmtId="41" fontId="0" fillId="0" borderId="0" xfId="0" applyNumberFormat="1"/>
    <xf numFmtId="41" fontId="10" fillId="0" borderId="0" xfId="7" applyNumberFormat="1" applyFont="1" applyBorder="1" applyAlignment="1">
      <alignment horizontal="center"/>
    </xf>
    <xf numFmtId="0" fontId="15" fillId="0" borderId="0" xfId="7" applyFont="1"/>
    <xf numFmtId="0" fontId="15" fillId="0" borderId="0" xfId="7" applyFont="1" applyAlignment="1">
      <alignment wrapText="1"/>
    </xf>
    <xf numFmtId="41" fontId="15" fillId="0" borderId="9" xfId="7" applyNumberFormat="1" applyFont="1" applyBorder="1" applyAlignment="1">
      <alignment horizontal="center"/>
    </xf>
    <xf numFmtId="0" fontId="15" fillId="0" borderId="0" xfId="7" applyFont="1" applyAlignment="1">
      <alignment horizontal="center"/>
    </xf>
    <xf numFmtId="41" fontId="10" fillId="0" borderId="6" xfId="7" applyNumberFormat="1" applyFont="1" applyFill="1" applyBorder="1"/>
    <xf numFmtId="41" fontId="10" fillId="0" borderId="1" xfId="7" applyNumberFormat="1" applyFont="1" applyFill="1" applyBorder="1"/>
    <xf numFmtId="0" fontId="0" fillId="0" borderId="0" xfId="0" applyFont="1"/>
    <xf numFmtId="165" fontId="10" fillId="0" borderId="0" xfId="7" applyNumberFormat="1" applyFont="1"/>
    <xf numFmtId="165" fontId="10" fillId="0" borderId="0" xfId="7" applyNumberFormat="1" applyFont="1" applyFill="1"/>
    <xf numFmtId="41" fontId="15" fillId="0" borderId="0" xfId="7" applyNumberFormat="1" applyFont="1" applyBorder="1" applyAlignment="1">
      <alignment horizontal="center"/>
    </xf>
    <xf numFmtId="166" fontId="10" fillId="0" borderId="0" xfId="0" applyNumberFormat="1" applyFont="1" applyAlignment="1"/>
    <xf numFmtId="41" fontId="10" fillId="0" borderId="1" xfId="5" applyNumberFormat="1" applyFont="1" applyBorder="1" applyAlignment="1"/>
    <xf numFmtId="166" fontId="10" fillId="0" borderId="17" xfId="5" applyNumberFormat="1" applyFont="1" applyBorder="1" applyAlignment="1">
      <alignment horizontal="right"/>
    </xf>
    <xf numFmtId="41" fontId="15" fillId="0" borderId="10" xfId="0" applyNumberFormat="1" applyFont="1" applyBorder="1" applyAlignment="1">
      <alignment vertical="top"/>
    </xf>
    <xf numFmtId="0" fontId="6" fillId="0" borderId="0" xfId="0" applyNumberFormat="1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6" fontId="2" fillId="0" borderId="0" xfId="0" applyNumberFormat="1" applyFont="1" applyAlignment="1"/>
    <xf numFmtId="0" fontId="15" fillId="0" borderId="0" xfId="6" applyNumberFormat="1" applyFont="1" applyAlignment="1">
      <alignment horizontal="center"/>
    </xf>
    <xf numFmtId="0" fontId="15" fillId="0" borderId="0" xfId="6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5" fillId="0" borderId="0" xfId="6" applyNumberFormat="1" applyFont="1" applyBorder="1" applyAlignment="1">
      <alignment horizontal="center"/>
    </xf>
    <xf numFmtId="0" fontId="21" fillId="0" borderId="0" xfId="6" applyFont="1" applyAlignment="1">
      <alignment horizontal="center"/>
    </xf>
    <xf numFmtId="0" fontId="32" fillId="0" borderId="0" xfId="0" applyFont="1" applyAlignment="1">
      <alignment wrapText="1"/>
    </xf>
    <xf numFmtId="0" fontId="21" fillId="0" borderId="0" xfId="6" applyNumberFormat="1" applyFont="1" applyAlignment="1">
      <alignment horizontal="center"/>
    </xf>
    <xf numFmtId="0" fontId="15" fillId="0" borderId="0" xfId="6" applyNumberFormat="1" applyFont="1" applyAlignment="1">
      <alignment horizontal="center" wrapText="1"/>
    </xf>
  </cellXfs>
  <cellStyles count="11">
    <cellStyle name="Comma" xfId="1" builtinId="3"/>
    <cellStyle name="Comma 2" xfId="2"/>
    <cellStyle name="Comma 77" xfId="3"/>
    <cellStyle name="Currency" xfId="4" builtinId="4"/>
    <cellStyle name="Currency 2" xfId="5"/>
    <cellStyle name="Normal" xfId="0" builtinId="0"/>
    <cellStyle name="Normal 2" xfId="6"/>
    <cellStyle name="Normal 3" xfId="7"/>
    <cellStyle name="Normal 3 2" xfId="8"/>
    <cellStyle name="Percent" xfId="9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d.ldap\dfs\MISD\other\admin\Business%20Office\Budget\Budget_16-17\Estimated%20Budget%2016-17%20and%20Fund%20balance%20projections%206.21.2016%20ve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 Proj"/>
      <sheetName val="Debt Service 5 Yr Trend"/>
      <sheetName val="Debt Service"/>
      <sheetName val="Proposed Budget"/>
      <sheetName val="199 by PIC code"/>
      <sheetName val="PrelimBudget"/>
      <sheetName val="Addtl Req Priority"/>
      <sheetName val="Revenues"/>
      <sheetName val="Tax Revenue Prelim to Cert"/>
      <sheetName val="13-14 Departments"/>
      <sheetName val="Dept 13-14 to 14-15recon"/>
      <sheetName val="Tax Values"/>
      <sheetName val="499 District Wide "/>
      <sheetName val="Dept 13-14 to 14-15 (2)"/>
      <sheetName val="Salary Matrix"/>
      <sheetName val="SN Revenues"/>
      <sheetName val="Sheet3"/>
    </sheetNames>
    <sheetDataSet>
      <sheetData sheetId="0"/>
      <sheetData sheetId="1"/>
      <sheetData sheetId="2">
        <row r="8">
          <cell r="C8"/>
        </row>
        <row r="10">
          <cell r="C10"/>
        </row>
        <row r="14">
          <cell r="C14"/>
        </row>
        <row r="15">
          <cell r="C1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N27" sqref="N27"/>
    </sheetView>
  </sheetViews>
  <sheetFormatPr defaultRowHeight="15.75" x14ac:dyDescent="0.25"/>
  <cols>
    <col min="1" max="1" width="3.7109375" style="335" customWidth="1"/>
    <col min="2" max="2" width="33.140625" style="335" customWidth="1"/>
    <col min="3" max="3" width="18.140625" style="339" bestFit="1" customWidth="1"/>
    <col min="4" max="4" width="3.140625" style="339" customWidth="1"/>
    <col min="5" max="5" width="16.85546875" style="339" bestFit="1" customWidth="1"/>
    <col min="6" max="6" width="3.7109375" style="339" customWidth="1"/>
    <col min="7" max="7" width="16.85546875" style="339" bestFit="1" customWidth="1"/>
  </cols>
  <sheetData>
    <row r="1" spans="1:7" x14ac:dyDescent="0.25">
      <c r="A1" s="371" t="s">
        <v>101</v>
      </c>
      <c r="B1" s="371"/>
      <c r="C1" s="371"/>
      <c r="D1" s="371"/>
      <c r="E1" s="371"/>
      <c r="F1" s="371"/>
      <c r="G1" s="371"/>
    </row>
    <row r="2" spans="1:7" x14ac:dyDescent="0.25">
      <c r="A2" s="371" t="s">
        <v>267</v>
      </c>
      <c r="B2" s="371"/>
      <c r="C2" s="371"/>
      <c r="D2" s="371"/>
      <c r="E2" s="371"/>
      <c r="F2" s="371"/>
      <c r="G2" s="371"/>
    </row>
    <row r="3" spans="1:7" x14ac:dyDescent="0.25">
      <c r="A3" s="371" t="s">
        <v>268</v>
      </c>
      <c r="B3" s="371"/>
      <c r="C3" s="371"/>
      <c r="D3" s="371"/>
      <c r="E3" s="371"/>
      <c r="F3" s="371"/>
      <c r="G3" s="371"/>
    </row>
    <row r="4" spans="1:7" x14ac:dyDescent="0.25">
      <c r="A4" s="372" t="s">
        <v>285</v>
      </c>
      <c r="B4" s="372"/>
      <c r="C4" s="372"/>
      <c r="D4" s="372"/>
      <c r="E4" s="372"/>
      <c r="F4" s="372"/>
      <c r="G4" s="372"/>
    </row>
    <row r="5" spans="1:7" x14ac:dyDescent="0.25">
      <c r="A5" s="201"/>
      <c r="B5" s="318"/>
      <c r="C5" s="325"/>
      <c r="D5" s="325"/>
      <c r="E5" s="325"/>
      <c r="F5" s="325"/>
      <c r="G5" s="325"/>
    </row>
    <row r="6" spans="1:7" x14ac:dyDescent="0.25">
      <c r="A6" s="201"/>
      <c r="B6" s="318"/>
      <c r="C6" s="326" t="s">
        <v>269</v>
      </c>
      <c r="D6" s="326"/>
      <c r="E6" s="326" t="s">
        <v>270</v>
      </c>
      <c r="F6" s="326"/>
      <c r="G6" s="326" t="s">
        <v>271</v>
      </c>
    </row>
    <row r="7" spans="1:7" x14ac:dyDescent="0.25">
      <c r="A7" s="201"/>
      <c r="B7" s="318"/>
      <c r="C7" s="326" t="s">
        <v>272</v>
      </c>
      <c r="D7" s="326"/>
      <c r="E7" s="326" t="s">
        <v>162</v>
      </c>
      <c r="F7" s="326"/>
      <c r="G7" s="326" t="s">
        <v>273</v>
      </c>
    </row>
    <row r="8" spans="1:7" x14ac:dyDescent="0.25">
      <c r="A8" s="217" t="s">
        <v>194</v>
      </c>
      <c r="B8" s="163"/>
      <c r="C8" s="323"/>
      <c r="D8" s="323"/>
      <c r="E8" s="323"/>
      <c r="F8" s="323"/>
      <c r="G8" s="323"/>
    </row>
    <row r="9" spans="1:7" x14ac:dyDescent="0.25">
      <c r="A9" s="201"/>
      <c r="B9" s="319" t="s">
        <v>163</v>
      </c>
      <c r="C9" s="60">
        <f>SUM(General!H9)</f>
        <v>147143871</v>
      </c>
      <c r="D9" s="220"/>
      <c r="E9" s="61">
        <f>SUM('Debt Service Proposed'!K10)</f>
        <v>72865846</v>
      </c>
      <c r="F9" s="220"/>
      <c r="G9" s="61">
        <f>SUM('School Nutrition'!K10)</f>
        <v>7066933</v>
      </c>
    </row>
    <row r="10" spans="1:7" x14ac:dyDescent="0.25">
      <c r="A10" s="201"/>
      <c r="B10" s="319" t="s">
        <v>274</v>
      </c>
      <c r="C10" s="303">
        <f>SUM(General!H10)</f>
        <v>155574161</v>
      </c>
      <c r="D10" s="327"/>
      <c r="E10" s="322">
        <f>SUM('Debt Service Proposed'!K11)</f>
        <v>0</v>
      </c>
      <c r="F10" s="328"/>
      <c r="G10" s="262">
        <f>SUM('School Nutrition'!K11)</f>
        <v>86500</v>
      </c>
    </row>
    <row r="11" spans="1:7" x14ac:dyDescent="0.25">
      <c r="A11" s="201"/>
      <c r="B11" s="319" t="s">
        <v>165</v>
      </c>
      <c r="C11" s="303">
        <f>SUM(General!H11)</f>
        <v>4682000</v>
      </c>
      <c r="D11" s="329"/>
      <c r="E11" s="322">
        <f>SUM('Debt Service Proposed'!K12)</f>
        <v>0</v>
      </c>
      <c r="F11" s="330"/>
      <c r="G11" s="262">
        <f>SUM('School Nutrition'!K12)</f>
        <v>10273798</v>
      </c>
    </row>
    <row r="12" spans="1:7" x14ac:dyDescent="0.25">
      <c r="A12" s="201"/>
      <c r="B12" s="219" t="s">
        <v>166</v>
      </c>
      <c r="C12" s="336">
        <f>SUM(General!H47)</f>
        <v>550000</v>
      </c>
      <c r="D12" s="329"/>
      <c r="E12" s="359">
        <f>SUM('Debt Service Proposed'!K13)</f>
        <v>0</v>
      </c>
      <c r="F12" s="330"/>
      <c r="G12" s="331">
        <v>0</v>
      </c>
    </row>
    <row r="13" spans="1:7" ht="31.5" x14ac:dyDescent="0.25">
      <c r="A13" s="201"/>
      <c r="B13" s="226" t="s">
        <v>167</v>
      </c>
      <c r="C13" s="340">
        <f>SUM(C9:C12)</f>
        <v>307950032</v>
      </c>
      <c r="D13" s="228"/>
      <c r="E13" s="340">
        <f>SUM(E9:E12)</f>
        <v>72865846</v>
      </c>
      <c r="F13" s="228"/>
      <c r="G13" s="340">
        <f>SUM(G9:G12)</f>
        <v>17427231</v>
      </c>
    </row>
    <row r="14" spans="1:7" x14ac:dyDescent="0.25">
      <c r="A14" s="201"/>
      <c r="B14" s="319"/>
      <c r="C14" s="332"/>
      <c r="D14" s="332"/>
      <c r="E14" s="332"/>
      <c r="F14" s="332"/>
      <c r="G14" s="332"/>
    </row>
    <row r="15" spans="1:7" x14ac:dyDescent="0.25">
      <c r="A15" s="217" t="s">
        <v>168</v>
      </c>
      <c r="B15" s="163"/>
      <c r="C15" s="323"/>
      <c r="D15" s="323"/>
      <c r="E15" s="323"/>
      <c r="F15" s="323"/>
      <c r="G15" s="323"/>
    </row>
    <row r="16" spans="1:7" x14ac:dyDescent="0.25">
      <c r="A16" s="201">
        <v>11</v>
      </c>
      <c r="B16" s="319" t="s">
        <v>41</v>
      </c>
      <c r="C16" s="61">
        <f>SUM(General!H16)</f>
        <v>188278316</v>
      </c>
      <c r="D16" s="220"/>
      <c r="E16" s="61">
        <v>0</v>
      </c>
      <c r="F16" s="220"/>
      <c r="G16" s="61">
        <v>0</v>
      </c>
    </row>
    <row r="17" spans="1:7" x14ac:dyDescent="0.25">
      <c r="A17" s="201">
        <v>12</v>
      </c>
      <c r="B17" s="319" t="s">
        <v>169</v>
      </c>
      <c r="C17" s="327">
        <f>SUM(General!H17)</f>
        <v>3697272</v>
      </c>
      <c r="D17" s="327"/>
      <c r="E17" s="328">
        <v>0</v>
      </c>
      <c r="F17" s="328"/>
      <c r="G17" s="328">
        <v>0</v>
      </c>
    </row>
    <row r="18" spans="1:7" ht="31.5" x14ac:dyDescent="0.25">
      <c r="A18" s="201">
        <v>13</v>
      </c>
      <c r="B18" s="319" t="s">
        <v>170</v>
      </c>
      <c r="C18" s="327">
        <f>SUM(General!H18)</f>
        <v>3923649</v>
      </c>
      <c r="D18" s="327"/>
      <c r="E18" s="327">
        <v>0</v>
      </c>
      <c r="F18" s="327"/>
      <c r="G18" s="328">
        <v>0</v>
      </c>
    </row>
    <row r="19" spans="1:7" x14ac:dyDescent="0.25">
      <c r="A19" s="201">
        <v>21</v>
      </c>
      <c r="B19" s="319" t="s">
        <v>171</v>
      </c>
      <c r="C19" s="327">
        <f>SUM(General!H19)</f>
        <v>3659198</v>
      </c>
      <c r="D19" s="327"/>
      <c r="E19" s="328">
        <v>0</v>
      </c>
      <c r="F19" s="328"/>
      <c r="G19" s="328">
        <v>0</v>
      </c>
    </row>
    <row r="20" spans="1:7" x14ac:dyDescent="0.25">
      <c r="A20" s="201">
        <v>23</v>
      </c>
      <c r="B20" s="319" t="s">
        <v>172</v>
      </c>
      <c r="C20" s="327">
        <f>SUM(General!H20)</f>
        <v>18813219</v>
      </c>
      <c r="D20" s="327"/>
      <c r="E20" s="328">
        <v>0</v>
      </c>
      <c r="F20" s="328"/>
      <c r="G20" s="328">
        <v>0</v>
      </c>
    </row>
    <row r="21" spans="1:7" x14ac:dyDescent="0.25">
      <c r="A21" s="201">
        <v>31</v>
      </c>
      <c r="B21" s="319" t="s">
        <v>173</v>
      </c>
      <c r="C21" s="327">
        <f>SUM(General!H21)</f>
        <v>10005860</v>
      </c>
      <c r="D21" s="327"/>
      <c r="E21" s="328">
        <v>0</v>
      </c>
      <c r="F21" s="328"/>
      <c r="G21" s="328">
        <v>0</v>
      </c>
    </row>
    <row r="22" spans="1:7" x14ac:dyDescent="0.25">
      <c r="A22" s="201">
        <v>32</v>
      </c>
      <c r="B22" s="319" t="s">
        <v>174</v>
      </c>
      <c r="D22" s="327"/>
      <c r="E22" s="328"/>
      <c r="F22" s="328"/>
      <c r="G22" s="328"/>
    </row>
    <row r="23" spans="1:7" x14ac:dyDescent="0.25">
      <c r="A23" s="201">
        <v>33</v>
      </c>
      <c r="B23" s="319" t="s">
        <v>175</v>
      </c>
      <c r="C23" s="327">
        <f>SUM(General!H22)</f>
        <v>4528610</v>
      </c>
      <c r="D23" s="327"/>
      <c r="E23" s="328">
        <v>0</v>
      </c>
      <c r="F23" s="328"/>
      <c r="G23" s="328">
        <v>0</v>
      </c>
    </row>
    <row r="24" spans="1:7" x14ac:dyDescent="0.25">
      <c r="A24" s="201">
        <v>34</v>
      </c>
      <c r="B24" s="319" t="s">
        <v>123</v>
      </c>
      <c r="C24" s="327">
        <f>SUM(General!H23)</f>
        <v>12590691</v>
      </c>
      <c r="D24" s="327"/>
      <c r="E24" s="328">
        <v>0</v>
      </c>
      <c r="F24" s="328"/>
      <c r="G24" s="328">
        <v>0</v>
      </c>
    </row>
    <row r="25" spans="1:7" x14ac:dyDescent="0.25">
      <c r="A25" s="201">
        <v>35</v>
      </c>
      <c r="B25" s="319" t="s">
        <v>176</v>
      </c>
      <c r="C25" s="327">
        <f>SUM(General!H24)</f>
        <v>0</v>
      </c>
      <c r="D25" s="328"/>
      <c r="E25" s="327">
        <v>0</v>
      </c>
      <c r="F25" s="327"/>
      <c r="G25" s="327">
        <f>SUM('School Nutrition'!K24)</f>
        <v>17761977</v>
      </c>
    </row>
    <row r="26" spans="1:7" ht="31.5" x14ac:dyDescent="0.25">
      <c r="A26" s="201">
        <v>36</v>
      </c>
      <c r="B26" s="319" t="s">
        <v>177</v>
      </c>
      <c r="C26" s="327">
        <f>SUM(General!H25)</f>
        <v>8918605</v>
      </c>
      <c r="D26" s="327"/>
      <c r="E26" s="328">
        <v>0</v>
      </c>
      <c r="F26" s="328"/>
      <c r="G26" s="328">
        <v>0</v>
      </c>
    </row>
    <row r="27" spans="1:7" x14ac:dyDescent="0.25">
      <c r="A27" s="201">
        <v>41</v>
      </c>
      <c r="B27" s="320" t="s">
        <v>178</v>
      </c>
      <c r="C27" s="327">
        <f>SUM(General!H26)</f>
        <v>7456194</v>
      </c>
      <c r="D27" s="327"/>
      <c r="E27" s="328">
        <v>0</v>
      </c>
      <c r="F27" s="328"/>
      <c r="G27" s="328">
        <v>0</v>
      </c>
    </row>
    <row r="28" spans="1:7" x14ac:dyDescent="0.25">
      <c r="A28" s="201">
        <v>51</v>
      </c>
      <c r="B28" s="320" t="s">
        <v>179</v>
      </c>
      <c r="C28" s="327">
        <f>SUM(General!H27)</f>
        <v>32378650</v>
      </c>
      <c r="D28" s="327"/>
      <c r="E28" s="328">
        <v>0</v>
      </c>
      <c r="F28" s="328"/>
      <c r="G28" s="328">
        <f>SUM('School Nutrition'!K32)</f>
        <v>262299</v>
      </c>
    </row>
    <row r="29" spans="1:7" x14ac:dyDescent="0.25">
      <c r="A29" s="201">
        <v>52</v>
      </c>
      <c r="B29" s="320" t="s">
        <v>180</v>
      </c>
      <c r="C29" s="327">
        <f>SUM(General!H28)</f>
        <v>6494366</v>
      </c>
      <c r="D29" s="327"/>
      <c r="E29" s="328">
        <v>0</v>
      </c>
      <c r="F29" s="328"/>
      <c r="G29" s="328">
        <v>0</v>
      </c>
    </row>
    <row r="30" spans="1:7" x14ac:dyDescent="0.25">
      <c r="A30" s="201">
        <v>53</v>
      </c>
      <c r="B30" s="320" t="s">
        <v>181</v>
      </c>
      <c r="C30" s="327">
        <f>SUM(General!H29)</f>
        <v>4932226</v>
      </c>
      <c r="D30" s="327"/>
      <c r="E30" s="328">
        <v>0</v>
      </c>
      <c r="F30" s="328"/>
      <c r="G30" s="328">
        <v>0</v>
      </c>
    </row>
    <row r="31" spans="1:7" x14ac:dyDescent="0.25">
      <c r="A31" s="201">
        <v>61</v>
      </c>
      <c r="B31" s="320" t="s">
        <v>182</v>
      </c>
      <c r="C31" s="327">
        <f>SUM(General!H30)</f>
        <v>328872</v>
      </c>
      <c r="D31" s="327"/>
      <c r="E31" s="328"/>
      <c r="F31" s="328"/>
      <c r="G31" s="328">
        <v>0</v>
      </c>
    </row>
    <row r="32" spans="1:7" x14ac:dyDescent="0.25">
      <c r="A32" s="201">
        <v>71</v>
      </c>
      <c r="B32" s="320" t="s">
        <v>183</v>
      </c>
      <c r="C32" s="327">
        <f>SUM(General!H31)</f>
        <v>348136</v>
      </c>
      <c r="D32" s="327"/>
      <c r="E32" s="327">
        <f>SUM('Debt Service Proposed'!K19)</f>
        <v>25940000</v>
      </c>
      <c r="F32" s="327"/>
      <c r="G32" s="328">
        <v>0</v>
      </c>
    </row>
    <row r="33" spans="1:7" x14ac:dyDescent="0.25">
      <c r="A33" s="201">
        <v>71</v>
      </c>
      <c r="B33" s="320" t="s">
        <v>184</v>
      </c>
      <c r="C33" s="327">
        <f>SUM(General!H32)</f>
        <v>0</v>
      </c>
      <c r="D33" s="327"/>
      <c r="E33" s="327">
        <f>SUM('Debt Service Proposed'!K20)</f>
        <v>32330809</v>
      </c>
      <c r="F33" s="327"/>
      <c r="G33" s="328">
        <v>0</v>
      </c>
    </row>
    <row r="34" spans="1:7" x14ac:dyDescent="0.25">
      <c r="A34" s="201">
        <v>71</v>
      </c>
      <c r="B34" s="320" t="s">
        <v>185</v>
      </c>
      <c r="C34" s="327">
        <f>SUM(General!H33)</f>
        <v>0</v>
      </c>
      <c r="D34" s="327"/>
      <c r="E34" s="327">
        <f>SUM('Debt Service Proposed'!K21)</f>
        <v>30000</v>
      </c>
      <c r="F34" s="327"/>
      <c r="G34" s="328">
        <v>0</v>
      </c>
    </row>
    <row r="35" spans="1:7" s="253" customFormat="1" hidden="1" x14ac:dyDescent="0.25">
      <c r="A35" s="201">
        <v>81</v>
      </c>
      <c r="B35" s="320" t="s">
        <v>15</v>
      </c>
      <c r="C35" s="327"/>
      <c r="D35" s="327"/>
      <c r="E35" s="327"/>
      <c r="F35" s="327"/>
      <c r="G35" s="328"/>
    </row>
    <row r="36" spans="1:7" hidden="1" x14ac:dyDescent="0.25">
      <c r="A36" s="201">
        <v>91</v>
      </c>
      <c r="B36" s="320" t="s">
        <v>186</v>
      </c>
      <c r="D36" s="327"/>
      <c r="E36" s="328">
        <v>0</v>
      </c>
      <c r="F36" s="328"/>
      <c r="G36" s="328">
        <v>0</v>
      </c>
    </row>
    <row r="37" spans="1:7" ht="15.75" customHeight="1" x14ac:dyDescent="0.25">
      <c r="A37" s="201">
        <v>95</v>
      </c>
      <c r="B37" s="320" t="s">
        <v>187</v>
      </c>
      <c r="C37" s="327">
        <f>SUM(General!H34)</f>
        <v>25000</v>
      </c>
      <c r="D37" s="327"/>
      <c r="E37" s="328">
        <v>0</v>
      </c>
      <c r="F37" s="328"/>
      <c r="G37" s="328">
        <v>0</v>
      </c>
    </row>
    <row r="38" spans="1:7" ht="17.25" customHeight="1" x14ac:dyDescent="0.25">
      <c r="A38" s="201">
        <v>99</v>
      </c>
      <c r="B38" s="320" t="s">
        <v>42</v>
      </c>
      <c r="C38" s="327">
        <f>SUM(General!H35)</f>
        <v>1212824</v>
      </c>
      <c r="D38" s="332"/>
      <c r="E38" s="333">
        <v>0</v>
      </c>
      <c r="F38" s="334"/>
      <c r="G38" s="333">
        <v>0</v>
      </c>
    </row>
    <row r="39" spans="1:7" x14ac:dyDescent="0.25">
      <c r="A39" s="201"/>
      <c r="B39" s="226" t="s">
        <v>188</v>
      </c>
      <c r="C39" s="72">
        <f>SUM(C16:C38)</f>
        <v>307591688</v>
      </c>
      <c r="D39" s="228"/>
      <c r="E39" s="72">
        <f>SUM(E32:E34)</f>
        <v>58300809</v>
      </c>
      <c r="F39" s="228"/>
      <c r="G39" s="72">
        <f>SUM(G16:G38)</f>
        <v>18024276</v>
      </c>
    </row>
    <row r="40" spans="1:7" x14ac:dyDescent="0.25">
      <c r="A40" s="201"/>
      <c r="B40" s="321"/>
      <c r="C40" s="324"/>
      <c r="D40" s="324"/>
      <c r="E40" s="324"/>
      <c r="F40" s="324"/>
      <c r="G40" s="324"/>
    </row>
    <row r="41" spans="1:7" x14ac:dyDescent="0.25">
      <c r="A41" s="217" t="s">
        <v>189</v>
      </c>
      <c r="B41" s="163"/>
      <c r="C41" s="84">
        <f>SUM(C13-C39)</f>
        <v>358344</v>
      </c>
      <c r="D41" s="235"/>
      <c r="E41" s="84">
        <f>SUM(E13-E39)</f>
        <v>14565037</v>
      </c>
      <c r="F41" s="235"/>
      <c r="G41" s="84">
        <f>SUM(G13-G39)</f>
        <v>-597045</v>
      </c>
    </row>
    <row r="42" spans="1:7" x14ac:dyDescent="0.25">
      <c r="C42" s="337"/>
      <c r="D42" s="338"/>
      <c r="E42" s="337"/>
      <c r="F42" s="338"/>
      <c r="G42" s="337"/>
    </row>
    <row r="43" spans="1:7" s="209" customFormat="1" x14ac:dyDescent="0.25">
      <c r="A43" s="341" t="s">
        <v>275</v>
      </c>
      <c r="B43" s="341"/>
      <c r="C43" s="339">
        <f>SUM(General!H52)</f>
        <v>86919548</v>
      </c>
      <c r="D43" s="342"/>
      <c r="E43" s="345">
        <f>SUM('Debt Service Proposed'!K45)</f>
        <v>44072588</v>
      </c>
      <c r="F43" s="343"/>
      <c r="G43" s="345">
        <f>SUM('School Nutrition'!K48)</f>
        <v>796048</v>
      </c>
    </row>
    <row r="44" spans="1:7" ht="16.5" thickBot="1" x14ac:dyDescent="0.3">
      <c r="A44" s="341" t="s">
        <v>276</v>
      </c>
      <c r="C44" s="344">
        <f>SUM(C41:C43)</f>
        <v>87277892</v>
      </c>
      <c r="D44" s="337"/>
      <c r="E44" s="344">
        <f>SUM(E41:E43)</f>
        <v>58637625</v>
      </c>
      <c r="F44" s="337"/>
      <c r="G44" s="344">
        <f>SUM(G41:G43)</f>
        <v>199003</v>
      </c>
    </row>
    <row r="45" spans="1:7" ht="16.5" thickTop="1" x14ac:dyDescent="0.25">
      <c r="C45" s="337"/>
      <c r="D45" s="337"/>
      <c r="E45" s="337"/>
      <c r="F45" s="337"/>
      <c r="G45" s="337"/>
    </row>
    <row r="46" spans="1:7" x14ac:dyDescent="0.25">
      <c r="C46" s="337"/>
      <c r="D46" s="337"/>
      <c r="E46" s="337"/>
      <c r="F46" s="337"/>
      <c r="G46" s="337"/>
    </row>
    <row r="47" spans="1:7" x14ac:dyDescent="0.25">
      <c r="C47" s="337"/>
      <c r="D47" s="337"/>
      <c r="E47" s="337"/>
      <c r="F47" s="337"/>
      <c r="G47" s="337"/>
    </row>
    <row r="48" spans="1:7" x14ac:dyDescent="0.25">
      <c r="C48" s="337"/>
      <c r="D48" s="337"/>
      <c r="E48" s="337"/>
      <c r="F48" s="337"/>
      <c r="G48" s="337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opLeftCell="A13" zoomScale="85" zoomScaleNormal="85" workbookViewId="0">
      <selection activeCell="D28" sqref="D28"/>
    </sheetView>
  </sheetViews>
  <sheetFormatPr defaultColWidth="12.42578125" defaultRowHeight="15.75" x14ac:dyDescent="0.25"/>
  <cols>
    <col min="1" max="1" width="5.5703125" style="48" bestFit="1" customWidth="1"/>
    <col min="2" max="2" width="52.28515625" style="48" customWidth="1"/>
    <col min="3" max="3" width="1.85546875" style="76" customWidth="1"/>
    <col min="4" max="4" width="19.28515625" style="48" bestFit="1" customWidth="1"/>
    <col min="5" max="5" width="1.85546875" style="76" customWidth="1"/>
    <col min="6" max="6" width="19.28515625" style="48" bestFit="1" customWidth="1"/>
    <col min="7" max="7" width="1.85546875" style="76" customWidth="1"/>
    <col min="8" max="8" width="16.85546875" style="48" customWidth="1"/>
    <col min="9" max="9" width="1.85546875" style="76" customWidth="1"/>
    <col min="10" max="10" width="16.7109375" style="48" customWidth="1"/>
    <col min="11" max="11" width="12.42578125" style="48" customWidth="1"/>
    <col min="12" max="12" width="13.5703125" style="48" customWidth="1"/>
    <col min="13" max="13" width="20.5703125" style="48" customWidth="1"/>
    <col min="14" max="14" width="12.42578125" style="48"/>
    <col min="15" max="16384" width="12.42578125" style="1"/>
  </cols>
  <sheetData>
    <row r="1" spans="1:17" ht="22.5" x14ac:dyDescent="0.3">
      <c r="B1" s="373" t="s">
        <v>101</v>
      </c>
      <c r="C1" s="373"/>
      <c r="D1" s="373"/>
      <c r="E1" s="373"/>
      <c r="F1" s="373"/>
      <c r="G1" s="373"/>
      <c r="H1" s="373"/>
      <c r="I1" s="373"/>
      <c r="J1" s="373"/>
    </row>
    <row r="2" spans="1:17" ht="20.25" x14ac:dyDescent="0.3">
      <c r="B2" s="374" t="s">
        <v>8</v>
      </c>
      <c r="C2" s="374"/>
      <c r="D2" s="374"/>
      <c r="E2" s="374"/>
      <c r="F2" s="374"/>
      <c r="G2" s="374"/>
      <c r="H2" s="374"/>
      <c r="I2" s="374"/>
      <c r="J2" s="374"/>
    </row>
    <row r="3" spans="1:17" ht="20.25" x14ac:dyDescent="0.3">
      <c r="B3" s="374" t="s">
        <v>199</v>
      </c>
      <c r="C3" s="374"/>
      <c r="D3" s="374"/>
      <c r="E3" s="374"/>
      <c r="F3" s="374"/>
      <c r="G3" s="374"/>
      <c r="H3" s="374"/>
      <c r="I3" s="374"/>
      <c r="J3" s="374"/>
    </row>
    <row r="4" spans="1:17" x14ac:dyDescent="0.25">
      <c r="B4" s="49"/>
      <c r="C4" s="51"/>
      <c r="D4" s="49"/>
      <c r="E4" s="51"/>
      <c r="F4" s="49"/>
      <c r="G4" s="51"/>
      <c r="H4" s="49"/>
      <c r="I4" s="51"/>
      <c r="J4" s="49"/>
    </row>
    <row r="5" spans="1:17" x14ac:dyDescent="0.25">
      <c r="B5" s="52"/>
      <c r="C5" s="54"/>
      <c r="E5" s="54"/>
      <c r="G5" s="54"/>
      <c r="H5" s="16" t="s">
        <v>285</v>
      </c>
      <c r="I5" s="54"/>
      <c r="J5" s="16"/>
    </row>
    <row r="6" spans="1:17" x14ac:dyDescent="0.25">
      <c r="B6" s="52"/>
      <c r="C6" s="55"/>
      <c r="D6" s="16" t="s">
        <v>244</v>
      </c>
      <c r="E6" s="55"/>
      <c r="F6" s="16" t="s">
        <v>246</v>
      </c>
      <c r="G6" s="55"/>
      <c r="H6" s="16" t="s">
        <v>1</v>
      </c>
      <c r="I6" s="55"/>
      <c r="J6" s="16"/>
    </row>
    <row r="7" spans="1:17" x14ac:dyDescent="0.25">
      <c r="B7" s="52"/>
      <c r="C7" s="55"/>
      <c r="D7" s="57" t="s">
        <v>2</v>
      </c>
      <c r="E7" s="55"/>
      <c r="F7" s="18" t="s">
        <v>208</v>
      </c>
      <c r="G7" s="55"/>
      <c r="H7" s="18" t="s">
        <v>3</v>
      </c>
      <c r="I7" s="55"/>
      <c r="J7" s="18" t="s">
        <v>38</v>
      </c>
    </row>
    <row r="8" spans="1:17" s="7" customFormat="1" x14ac:dyDescent="0.25">
      <c r="A8" s="58"/>
      <c r="B8" s="43" t="s">
        <v>9</v>
      </c>
      <c r="C8" s="59"/>
      <c r="D8" s="59"/>
      <c r="E8" s="59"/>
      <c r="F8" s="59"/>
      <c r="G8" s="59"/>
      <c r="H8" s="11"/>
      <c r="I8" s="59"/>
      <c r="J8" s="59"/>
      <c r="K8" s="11"/>
      <c r="L8" s="59"/>
      <c r="M8" s="11"/>
      <c r="N8" s="59"/>
      <c r="O8" s="6"/>
      <c r="P8" s="1"/>
      <c r="Q8" s="1"/>
    </row>
    <row r="9" spans="1:17" x14ac:dyDescent="0.25">
      <c r="B9" s="11" t="s">
        <v>137</v>
      </c>
      <c r="C9" s="60"/>
      <c r="D9" s="61">
        <f>SUM(Comparison!G10)</f>
        <v>136876895</v>
      </c>
      <c r="E9" s="60"/>
      <c r="F9" s="61">
        <f>SUM(Comparison!I10)</f>
        <v>146426125</v>
      </c>
      <c r="G9" s="60"/>
      <c r="H9" s="61">
        <f>SUM(Comparison!K10)</f>
        <v>147143871</v>
      </c>
      <c r="I9" s="60"/>
      <c r="J9" s="61">
        <f>+H9-F9</f>
        <v>717746</v>
      </c>
    </row>
    <row r="10" spans="1:17" x14ac:dyDescent="0.25">
      <c r="B10" s="11" t="s">
        <v>138</v>
      </c>
      <c r="C10" s="63"/>
      <c r="D10" s="262">
        <f>SUM(Comparison!G11)</f>
        <v>148276608</v>
      </c>
      <c r="E10" s="303"/>
      <c r="F10" s="262">
        <f>SUM(Comparison!I11)</f>
        <v>141763269</v>
      </c>
      <c r="G10" s="303"/>
      <c r="H10" s="262">
        <f>SUM(Comparison!K11)</f>
        <v>155574161</v>
      </c>
      <c r="I10" s="304"/>
      <c r="J10" s="104">
        <f>+H10-F10</f>
        <v>13810892</v>
      </c>
    </row>
    <row r="11" spans="1:17" x14ac:dyDescent="0.25">
      <c r="B11" s="11" t="s">
        <v>139</v>
      </c>
      <c r="C11" s="66"/>
      <c r="D11" s="303">
        <f>SUM(Comparison!G12)</f>
        <v>3916731</v>
      </c>
      <c r="E11" s="303"/>
      <c r="F11" s="303">
        <f>SUM(Comparison!I12)</f>
        <v>4900000</v>
      </c>
      <c r="G11" s="303"/>
      <c r="H11" s="303">
        <f>SUM(Comparison!K12)</f>
        <v>4682000</v>
      </c>
      <c r="I11" s="305"/>
      <c r="J11" s="105">
        <f>+H11-F11</f>
        <v>-218000</v>
      </c>
    </row>
    <row r="12" spans="1:17" s="7" customFormat="1" ht="9" customHeight="1" x14ac:dyDescent="0.25">
      <c r="A12" s="15" t="s">
        <v>4</v>
      </c>
      <c r="B12" s="67"/>
      <c r="C12" s="67"/>
      <c r="D12" s="67"/>
      <c r="E12" s="67"/>
      <c r="F12" s="67"/>
      <c r="G12" s="67"/>
      <c r="H12" s="67"/>
      <c r="I12" s="48"/>
      <c r="J12" s="67"/>
      <c r="K12" s="58"/>
      <c r="L12" s="58"/>
      <c r="M12" s="58"/>
      <c r="N12" s="58"/>
    </row>
    <row r="13" spans="1:17" x14ac:dyDescent="0.25">
      <c r="B13" s="69" t="s">
        <v>37</v>
      </c>
      <c r="C13" s="72"/>
      <c r="D13" s="73">
        <f>SUM(D8:D11)</f>
        <v>289070234</v>
      </c>
      <c r="E13" s="73"/>
      <c r="F13" s="73">
        <f>SUM(F8:F11)</f>
        <v>293089394</v>
      </c>
      <c r="G13" s="73"/>
      <c r="H13" s="73">
        <f>SUM(H8:H11)</f>
        <v>307400032</v>
      </c>
      <c r="I13" s="74"/>
      <c r="J13" s="75">
        <f>SUM(J8:J11)</f>
        <v>14310638</v>
      </c>
      <c r="K13" s="76"/>
    </row>
    <row r="14" spans="1:17" x14ac:dyDescent="0.25">
      <c r="B14" s="77"/>
      <c r="C14" s="60"/>
      <c r="D14" s="80"/>
      <c r="E14" s="60"/>
      <c r="F14" s="80"/>
      <c r="G14" s="60"/>
      <c r="H14" s="80"/>
      <c r="I14" s="60"/>
      <c r="J14" s="80"/>
    </row>
    <row r="15" spans="1:17" x14ac:dyDescent="0.25">
      <c r="B15" s="43" t="s">
        <v>5</v>
      </c>
      <c r="C15" s="60"/>
      <c r="D15" s="52"/>
      <c r="E15" s="60"/>
      <c r="F15" s="52"/>
      <c r="G15" s="60"/>
      <c r="H15" s="52"/>
      <c r="I15" s="60"/>
      <c r="J15" s="52"/>
    </row>
    <row r="16" spans="1:17" x14ac:dyDescent="0.25">
      <c r="B16" s="81" t="s">
        <v>16</v>
      </c>
      <c r="C16" s="84"/>
      <c r="D16" s="63">
        <f>SUM(Comparison!G23)</f>
        <v>173241131</v>
      </c>
      <c r="E16" s="66"/>
      <c r="F16" s="63">
        <f>SUM(Comparison!I23)</f>
        <v>177047393</v>
      </c>
      <c r="G16" s="63">
        <f>SUM(Comparison!J23)</f>
        <v>0</v>
      </c>
      <c r="H16" s="63">
        <f>SUM(Comparison!K23)</f>
        <v>188278316</v>
      </c>
      <c r="I16" s="63">
        <f>SUM(Comparison!L23)</f>
        <v>0</v>
      </c>
      <c r="J16" s="63">
        <f>+H16-F16</f>
        <v>11230923</v>
      </c>
    </row>
    <row r="17" spans="2:14" x14ac:dyDescent="0.25">
      <c r="B17" s="81" t="s">
        <v>120</v>
      </c>
      <c r="C17" s="60"/>
      <c r="D17" s="63">
        <f>SUM(Comparison!G31)</f>
        <v>3591588</v>
      </c>
      <c r="E17" s="66"/>
      <c r="F17" s="63">
        <f>SUM(Comparison!I31)</f>
        <v>3617151</v>
      </c>
      <c r="G17" s="63">
        <f>SUM(Comparison!J24)</f>
        <v>0</v>
      </c>
      <c r="H17" s="63">
        <f>SUM(Comparison!K31)</f>
        <v>3697272</v>
      </c>
      <c r="I17" s="63">
        <f>SUM(Comparison!L24)</f>
        <v>0</v>
      </c>
      <c r="J17" s="63">
        <f t="shared" ref="J17:J35" si="0">+H17-F17</f>
        <v>80121</v>
      </c>
      <c r="M17" s="85"/>
    </row>
    <row r="18" spans="2:14" x14ac:dyDescent="0.25">
      <c r="B18" s="81" t="s">
        <v>108</v>
      </c>
      <c r="C18" s="86"/>
      <c r="D18" s="63">
        <f>SUM(Comparison!G39)</f>
        <v>2909400</v>
      </c>
      <c r="E18" s="66"/>
      <c r="F18" s="63">
        <f>SUM(Comparison!I39)</f>
        <v>4039350</v>
      </c>
      <c r="G18" s="63">
        <f>SUM(Comparison!J25)</f>
        <v>0</v>
      </c>
      <c r="H18" s="63">
        <f>SUM(Comparison!K39)</f>
        <v>3923649</v>
      </c>
      <c r="I18" s="63">
        <f>SUM(Comparison!L25)</f>
        <v>0</v>
      </c>
      <c r="J18" s="63">
        <f>+H18-F18</f>
        <v>-115701</v>
      </c>
      <c r="M18" s="88"/>
      <c r="N18" s="85"/>
    </row>
    <row r="19" spans="2:14" x14ac:dyDescent="0.25">
      <c r="B19" s="81" t="s">
        <v>102</v>
      </c>
      <c r="C19" s="86"/>
      <c r="D19" s="63">
        <f>SUM(Comparison!G47)</f>
        <v>3544972</v>
      </c>
      <c r="E19" s="66"/>
      <c r="F19" s="63">
        <f>SUM(Comparison!I47)</f>
        <v>3856670</v>
      </c>
      <c r="G19" s="63">
        <f>SUM(Comparison!J26)</f>
        <v>0</v>
      </c>
      <c r="H19" s="63">
        <f>SUM(Comparison!K47)</f>
        <v>3659198</v>
      </c>
      <c r="I19" s="63">
        <f>SUM(Comparison!L26)</f>
        <v>0</v>
      </c>
      <c r="J19" s="63">
        <f t="shared" si="0"/>
        <v>-197472</v>
      </c>
      <c r="L19" s="48" t="s">
        <v>4</v>
      </c>
      <c r="M19" s="88"/>
      <c r="N19" s="85"/>
    </row>
    <row r="20" spans="2:14" x14ac:dyDescent="0.25">
      <c r="B20" s="81" t="s">
        <v>104</v>
      </c>
      <c r="C20" s="86"/>
      <c r="D20" s="63">
        <f>SUM(Comparison!G55)</f>
        <v>18721038</v>
      </c>
      <c r="E20" s="66"/>
      <c r="F20" s="63">
        <f>SUM(Comparison!I55)</f>
        <v>18425589</v>
      </c>
      <c r="G20" s="63">
        <f>SUM(Comparison!J27)</f>
        <v>0</v>
      </c>
      <c r="H20" s="63">
        <f>SUM(Comparison!K55)</f>
        <v>18813219</v>
      </c>
      <c r="I20" s="63">
        <f>SUM(Comparison!L27)</f>
        <v>0</v>
      </c>
      <c r="J20" s="63">
        <f t="shared" si="0"/>
        <v>387630</v>
      </c>
    </row>
    <row r="21" spans="2:14" x14ac:dyDescent="0.25">
      <c r="B21" s="81" t="s">
        <v>23</v>
      </c>
      <c r="C21" s="86"/>
      <c r="D21" s="63">
        <f>SUM(Comparison!G63)</f>
        <v>9382191</v>
      </c>
      <c r="E21" s="66"/>
      <c r="F21" s="63">
        <f>SUM(Comparison!I63)</f>
        <v>9568480</v>
      </c>
      <c r="G21" s="63">
        <f>SUM(Comparison!J28)</f>
        <v>0</v>
      </c>
      <c r="H21" s="63">
        <f>SUM(Comparison!K63)</f>
        <v>10005860</v>
      </c>
      <c r="I21" s="63">
        <f>SUM(Comparison!L28)</f>
        <v>0</v>
      </c>
      <c r="J21" s="63">
        <f t="shared" si="0"/>
        <v>437380</v>
      </c>
    </row>
    <row r="22" spans="2:14" x14ac:dyDescent="0.25">
      <c r="B22" s="81" t="s">
        <v>25</v>
      </c>
      <c r="C22" s="86"/>
      <c r="D22" s="63">
        <f>SUM(Comparison!G71)</f>
        <v>4537332</v>
      </c>
      <c r="E22" s="66"/>
      <c r="F22" s="63">
        <f>SUM(Comparison!I71)</f>
        <v>4506689</v>
      </c>
      <c r="G22" s="63">
        <f>SUM(Comparison!J29)</f>
        <v>0</v>
      </c>
      <c r="H22" s="63">
        <f>SUM(Comparison!K71)</f>
        <v>4528610</v>
      </c>
      <c r="I22" s="63">
        <f>SUM(Comparison!L29)</f>
        <v>0</v>
      </c>
      <c r="J22" s="63">
        <f t="shared" si="0"/>
        <v>21921</v>
      </c>
    </row>
    <row r="23" spans="2:14" x14ac:dyDescent="0.25">
      <c r="B23" s="81" t="s">
        <v>106</v>
      </c>
      <c r="C23" s="86"/>
      <c r="D23" s="63">
        <f>SUM(Comparison!G79)</f>
        <v>10137532</v>
      </c>
      <c r="E23" s="66"/>
      <c r="F23" s="63">
        <f>SUM(Comparison!I79)</f>
        <v>12689909</v>
      </c>
      <c r="G23" s="63">
        <f>SUM(Comparison!J30)</f>
        <v>0</v>
      </c>
      <c r="H23" s="63">
        <f>SUM(Comparison!K79)</f>
        <v>12590691</v>
      </c>
      <c r="I23" s="63">
        <f>SUM(Comparison!L30)</f>
        <v>0</v>
      </c>
      <c r="J23" s="63">
        <f t="shared" si="0"/>
        <v>-99218</v>
      </c>
    </row>
    <row r="24" spans="2:14" x14ac:dyDescent="0.25">
      <c r="B24" s="81" t="s">
        <v>127</v>
      </c>
      <c r="C24" s="86"/>
      <c r="D24" s="63">
        <f>SUM(Comparison!G87)</f>
        <v>4276</v>
      </c>
      <c r="E24" s="66"/>
      <c r="F24" s="63">
        <f>SUM(Comparison!I87)</f>
        <v>46000</v>
      </c>
      <c r="G24" s="63">
        <f>SUM(Comparison!J31)</f>
        <v>0</v>
      </c>
      <c r="H24" s="63">
        <f>SUM(Comparison!K87)</f>
        <v>0</v>
      </c>
      <c r="I24" s="63">
        <f>SUM(Comparison!L31)</f>
        <v>0</v>
      </c>
      <c r="J24" s="63">
        <f t="shared" si="0"/>
        <v>-46000</v>
      </c>
    </row>
    <row r="25" spans="2:14" x14ac:dyDescent="0.25">
      <c r="B25" s="81" t="s">
        <v>110</v>
      </c>
      <c r="C25" s="86"/>
      <c r="D25" s="63">
        <f>SUM(Comparison!G95)</f>
        <v>9545027</v>
      </c>
      <c r="E25" s="66"/>
      <c r="F25" s="63">
        <f>SUM(Comparison!I95)</f>
        <v>9819852</v>
      </c>
      <c r="G25" s="63">
        <f>SUM(Comparison!J32)</f>
        <v>0</v>
      </c>
      <c r="H25" s="63">
        <f>SUM(Comparison!K95)</f>
        <v>8918605</v>
      </c>
      <c r="I25" s="63">
        <f>SUM(Comparison!L32)</f>
        <v>0</v>
      </c>
      <c r="J25" s="63">
        <f t="shared" si="0"/>
        <v>-901247</v>
      </c>
    </row>
    <row r="26" spans="2:14" x14ac:dyDescent="0.25">
      <c r="B26" s="81" t="s">
        <v>27</v>
      </c>
      <c r="C26" s="86"/>
      <c r="D26" s="63">
        <f>SUM(Comparison!G103)</f>
        <v>6864889</v>
      </c>
      <c r="E26" s="66"/>
      <c r="F26" s="63">
        <f>SUM(Comparison!I103)</f>
        <v>6957055</v>
      </c>
      <c r="G26" s="63">
        <f>SUM(Comparison!J33)</f>
        <v>0</v>
      </c>
      <c r="H26" s="63">
        <f>SUM(Comparison!K103)</f>
        <v>7456194</v>
      </c>
      <c r="I26" s="63">
        <f>SUM(Comparison!L33)</f>
        <v>0</v>
      </c>
      <c r="J26" s="63">
        <f t="shared" si="0"/>
        <v>499139</v>
      </c>
      <c r="L26" s="48" t="s">
        <v>4</v>
      </c>
    </row>
    <row r="27" spans="2:14" x14ac:dyDescent="0.25">
      <c r="B27" s="81" t="s">
        <v>112</v>
      </c>
      <c r="C27" s="86"/>
      <c r="D27" s="63">
        <f>SUM(Comparison!G113)</f>
        <v>29220135</v>
      </c>
      <c r="E27" s="66"/>
      <c r="F27" s="63">
        <f>SUM(Comparison!I113)</f>
        <v>31060673</v>
      </c>
      <c r="G27" s="63">
        <f>SUM(Comparison!J34)</f>
        <v>0</v>
      </c>
      <c r="H27" s="63">
        <f>SUM(Comparison!K113)</f>
        <v>32378650</v>
      </c>
      <c r="I27" s="63">
        <f>SUM(Comparison!L34)</f>
        <v>0</v>
      </c>
      <c r="J27" s="63">
        <f t="shared" si="0"/>
        <v>1317977</v>
      </c>
    </row>
    <row r="28" spans="2:14" x14ac:dyDescent="0.25">
      <c r="B28" s="81" t="s">
        <v>114</v>
      </c>
      <c r="C28" s="86"/>
      <c r="D28" s="63">
        <f>SUM(Comparison!G121)</f>
        <v>4529498</v>
      </c>
      <c r="E28" s="66"/>
      <c r="F28" s="63">
        <f>SUM(Comparison!I121)</f>
        <v>7092040</v>
      </c>
      <c r="G28" s="63">
        <f>SUM(Comparison!J35)</f>
        <v>0</v>
      </c>
      <c r="H28" s="63">
        <f>SUM(Comparison!K121)</f>
        <v>6494366</v>
      </c>
      <c r="I28" s="63">
        <f>SUM(Comparison!L35)</f>
        <v>0</v>
      </c>
      <c r="J28" s="63">
        <f t="shared" si="0"/>
        <v>-597674</v>
      </c>
    </row>
    <row r="29" spans="2:14" x14ac:dyDescent="0.25">
      <c r="B29" s="81" t="s">
        <v>29</v>
      </c>
      <c r="C29" s="86"/>
      <c r="D29" s="63">
        <f>SUM(Comparison!G129)</f>
        <v>4204508</v>
      </c>
      <c r="E29" s="66"/>
      <c r="F29" s="63">
        <f>SUM(Comparison!I129)</f>
        <v>4632694</v>
      </c>
      <c r="G29" s="63">
        <f>SUM(Comparison!J36)</f>
        <v>0</v>
      </c>
      <c r="H29" s="63">
        <f>SUM(Comparison!K129)</f>
        <v>4932226</v>
      </c>
      <c r="I29" s="63">
        <f>SUM(Comparison!L36)</f>
        <v>0</v>
      </c>
      <c r="J29" s="63">
        <f t="shared" si="0"/>
        <v>299532</v>
      </c>
    </row>
    <row r="30" spans="2:14" x14ac:dyDescent="0.25">
      <c r="B30" s="81" t="s">
        <v>31</v>
      </c>
      <c r="C30" s="86"/>
      <c r="D30" s="63">
        <f>SUM(Comparison!G137)</f>
        <v>326576</v>
      </c>
      <c r="E30" s="66"/>
      <c r="F30" s="63">
        <f>SUM(Comparison!I137)</f>
        <v>485082</v>
      </c>
      <c r="G30" s="63">
        <f>SUM(Comparison!J37)</f>
        <v>0</v>
      </c>
      <c r="H30" s="63">
        <f>SUM(Comparison!K137)</f>
        <v>328872</v>
      </c>
      <c r="I30" s="63">
        <f>SUM(Comparison!L37)</f>
        <v>0</v>
      </c>
      <c r="J30" s="63">
        <f t="shared" si="0"/>
        <v>-156210</v>
      </c>
    </row>
    <row r="31" spans="2:14" x14ac:dyDescent="0.25">
      <c r="B31" s="81" t="s">
        <v>135</v>
      </c>
      <c r="C31" s="86"/>
      <c r="D31" s="63">
        <f>SUM(Comparison!G140)</f>
        <v>2004288</v>
      </c>
      <c r="E31" s="66"/>
      <c r="F31" s="63">
        <f>SUM(Comparison!I140)</f>
        <v>340609</v>
      </c>
      <c r="G31" s="63">
        <f>SUM(Comparison!J38)</f>
        <v>0</v>
      </c>
      <c r="H31" s="63">
        <f>SUM(Comparison!K140)</f>
        <v>348136</v>
      </c>
      <c r="I31" s="63">
        <f>SUM(Comparison!L38)</f>
        <v>0</v>
      </c>
      <c r="J31" s="63">
        <f t="shared" si="0"/>
        <v>7527</v>
      </c>
    </row>
    <row r="32" spans="2:14" x14ac:dyDescent="0.25">
      <c r="B32" s="81" t="s">
        <v>116</v>
      </c>
      <c r="C32" s="86"/>
      <c r="D32" s="63">
        <f>SUM(Comparison!G147)</f>
        <v>0</v>
      </c>
      <c r="E32" s="66"/>
      <c r="F32" s="63">
        <f>SUM(Comparison!I147)</f>
        <v>472073</v>
      </c>
      <c r="G32" s="63">
        <f>SUM(Comparison!J39)</f>
        <v>0</v>
      </c>
      <c r="H32" s="63">
        <f>SUM(Comparison!K147)</f>
        <v>0</v>
      </c>
      <c r="I32" s="63">
        <f>SUM(Comparison!L39)</f>
        <v>0</v>
      </c>
      <c r="J32" s="63">
        <f t="shared" si="0"/>
        <v>-472073</v>
      </c>
    </row>
    <row r="33" spans="1:14" x14ac:dyDescent="0.25">
      <c r="B33" s="81" t="s">
        <v>251</v>
      </c>
      <c r="C33" s="86"/>
      <c r="D33" s="63">
        <f>SUM(Comparison!G151)</f>
        <v>0</v>
      </c>
      <c r="E33" s="66"/>
      <c r="F33" s="63">
        <f>SUM(Comparison!I40)</f>
        <v>0</v>
      </c>
      <c r="G33" s="63">
        <f>SUM(Comparison!J40)</f>
        <v>0</v>
      </c>
      <c r="H33" s="63">
        <f>SUM(Comparison!K150)</f>
        <v>0</v>
      </c>
      <c r="I33" s="63">
        <f>SUM(Comparison!L40)</f>
        <v>0</v>
      </c>
      <c r="J33" s="63">
        <f t="shared" si="0"/>
        <v>0</v>
      </c>
    </row>
    <row r="34" spans="1:14" x14ac:dyDescent="0.25">
      <c r="B34" s="81" t="s">
        <v>118</v>
      </c>
      <c r="C34" s="86"/>
      <c r="D34" s="63">
        <f>SUM(Comparison!G155)</f>
        <v>0</v>
      </c>
      <c r="E34" s="66"/>
      <c r="F34" s="63">
        <f>SUM(Comparison!I155)</f>
        <v>25000</v>
      </c>
      <c r="G34" s="63">
        <f>SUM(Comparison!J41)</f>
        <v>0</v>
      </c>
      <c r="H34" s="63">
        <f>SUM(Comparison!K155)</f>
        <v>25000</v>
      </c>
      <c r="I34" s="63">
        <f>SUM(Comparison!L41)</f>
        <v>0</v>
      </c>
      <c r="J34" s="63">
        <f t="shared" si="0"/>
        <v>0</v>
      </c>
    </row>
    <row r="35" spans="1:14" x14ac:dyDescent="0.25">
      <c r="B35" s="81" t="s">
        <v>33</v>
      </c>
      <c r="C35" s="86"/>
      <c r="D35" s="63">
        <f>SUM(Comparison!G159)</f>
        <v>1061384</v>
      </c>
      <c r="E35" s="66"/>
      <c r="F35" s="63">
        <f>SUM(Comparison!I159)</f>
        <v>1149000</v>
      </c>
      <c r="G35" s="63">
        <f>SUM(Comparison!J42)</f>
        <v>0</v>
      </c>
      <c r="H35" s="63">
        <f>SUM(Comparison!K159)</f>
        <v>1212824</v>
      </c>
      <c r="I35" s="63">
        <f>SUM(Comparison!L42)</f>
        <v>0</v>
      </c>
      <c r="J35" s="63">
        <f t="shared" si="0"/>
        <v>63824</v>
      </c>
    </row>
    <row r="36" spans="1:14" s="7" customFormat="1" ht="9" customHeight="1" x14ac:dyDescent="0.25">
      <c r="A36" s="11" t="s">
        <v>4</v>
      </c>
      <c r="B36" s="67"/>
      <c r="C36" s="67"/>
      <c r="D36" s="67"/>
      <c r="E36" s="67"/>
      <c r="F36" s="67"/>
      <c r="G36" s="67"/>
      <c r="H36" s="67"/>
      <c r="I36" s="48"/>
      <c r="J36" s="67"/>
      <c r="K36" s="58"/>
      <c r="L36" s="58"/>
      <c r="M36" s="58"/>
      <c r="N36" s="58"/>
    </row>
    <row r="37" spans="1:14" x14ac:dyDescent="0.25">
      <c r="B37" s="69" t="s">
        <v>36</v>
      </c>
      <c r="C37" s="95"/>
      <c r="D37" s="94">
        <f>SUM(D16:D36)</f>
        <v>283825765</v>
      </c>
      <c r="E37" s="95"/>
      <c r="F37" s="94">
        <f>SUM(F16:F36)</f>
        <v>295831309</v>
      </c>
      <c r="G37" s="95"/>
      <c r="H37" s="94">
        <f>SUM(H16:H36)</f>
        <v>307591688</v>
      </c>
      <c r="I37" s="95"/>
      <c r="J37" s="94">
        <f>SUM(J16:J36)</f>
        <v>11760379</v>
      </c>
    </row>
    <row r="38" spans="1:14" x14ac:dyDescent="0.25">
      <c r="B38" s="16"/>
      <c r="D38" s="263"/>
      <c r="E38" s="54"/>
      <c r="F38" s="54"/>
      <c r="G38" s="54"/>
      <c r="H38" s="54"/>
      <c r="I38" s="54"/>
      <c r="J38" s="54"/>
    </row>
    <row r="39" spans="1:14" x14ac:dyDescent="0.25">
      <c r="B39" s="15" t="s">
        <v>39</v>
      </c>
      <c r="D39" s="52"/>
      <c r="F39" s="52"/>
      <c r="H39" s="52"/>
      <c r="J39" s="96"/>
    </row>
    <row r="40" spans="1:14" x14ac:dyDescent="0.25">
      <c r="B40" s="15" t="s">
        <v>40</v>
      </c>
      <c r="C40" s="86"/>
      <c r="D40" s="98">
        <f>D13-D37</f>
        <v>5244469</v>
      </c>
      <c r="E40" s="86"/>
      <c r="F40" s="98">
        <f>F13-F37</f>
        <v>-2741915</v>
      </c>
      <c r="G40" s="86"/>
      <c r="H40" s="98">
        <f>H13-H37</f>
        <v>-191656</v>
      </c>
      <c r="I40" s="86"/>
      <c r="J40" s="98">
        <f>J13-J37</f>
        <v>2550259</v>
      </c>
      <c r="K40" s="88"/>
    </row>
    <row r="41" spans="1:14" s="48" customFormat="1" x14ac:dyDescent="0.25">
      <c r="B41" s="15"/>
      <c r="C41" s="86"/>
      <c r="D41" s="264"/>
      <c r="E41" s="86"/>
      <c r="F41" s="100"/>
      <c r="G41" s="86"/>
      <c r="H41" s="100"/>
      <c r="I41" s="86"/>
      <c r="J41" s="100"/>
      <c r="K41" s="88"/>
    </row>
    <row r="42" spans="1:14" s="48" customFormat="1" x14ac:dyDescent="0.25">
      <c r="B42" s="11" t="s">
        <v>129</v>
      </c>
      <c r="C42" s="76"/>
      <c r="D42" s="101">
        <f>SUM(Comparison!G166)</f>
        <v>635000</v>
      </c>
      <c r="E42" s="86"/>
      <c r="F42" s="101">
        <f>SUM(Comparison!I166)</f>
        <v>0</v>
      </c>
      <c r="G42" s="101">
        <f>SUM(Comparison!J166)</f>
        <v>0</v>
      </c>
      <c r="H42" s="101">
        <f>SUM(Comparison!K166)</f>
        <v>0</v>
      </c>
      <c r="I42" s="86"/>
      <c r="J42" s="101">
        <f>+H42-F42</f>
        <v>0</v>
      </c>
      <c r="K42" s="88"/>
    </row>
    <row r="43" spans="1:14" s="48" customFormat="1" x14ac:dyDescent="0.25">
      <c r="B43" s="11" t="s">
        <v>125</v>
      </c>
      <c r="C43" s="76"/>
      <c r="D43" s="102">
        <f>SUM(Comparison!G167)</f>
        <v>94912</v>
      </c>
      <c r="E43" s="103"/>
      <c r="F43" s="102">
        <f>SUM(Comparison!I167)</f>
        <v>0</v>
      </c>
      <c r="G43" s="102">
        <f>SUM(Comparison!J167)</f>
        <v>0</v>
      </c>
      <c r="H43" s="102">
        <f>SUM(Comparison!K167)</f>
        <v>0</v>
      </c>
      <c r="I43" s="103"/>
      <c r="J43" s="102">
        <f>+H43-F43</f>
        <v>0</v>
      </c>
      <c r="K43" s="88"/>
    </row>
    <row r="44" spans="1:14" s="48" customFormat="1" x14ac:dyDescent="0.25">
      <c r="B44" s="11" t="s">
        <v>243</v>
      </c>
      <c r="C44" s="76"/>
      <c r="D44" s="102"/>
      <c r="E44" s="103"/>
      <c r="F44" s="102"/>
      <c r="G44" s="102"/>
      <c r="H44" s="102"/>
      <c r="I44" s="103"/>
      <c r="J44" s="102"/>
      <c r="K44" s="88"/>
    </row>
    <row r="45" spans="1:14" s="48" customFormat="1" x14ac:dyDescent="0.25">
      <c r="B45" s="11" t="s">
        <v>140</v>
      </c>
      <c r="C45" s="76"/>
      <c r="D45" s="102">
        <f>SUM(Comparison!G168)</f>
        <v>0</v>
      </c>
      <c r="E45" s="103"/>
      <c r="F45" s="102">
        <f>SUM(Comparison!I168)</f>
        <v>-43600</v>
      </c>
      <c r="G45" s="102">
        <f>SUM(Comparison!J168)</f>
        <v>0</v>
      </c>
      <c r="H45" s="102">
        <f>SUM(Comparison!K168)</f>
        <v>0</v>
      </c>
      <c r="I45" s="103"/>
      <c r="J45" s="102">
        <f>+H45-F45</f>
        <v>43600</v>
      </c>
      <c r="K45" s="88"/>
      <c r="N45" s="48" t="s">
        <v>4</v>
      </c>
    </row>
    <row r="46" spans="1:14" s="48" customFormat="1" x14ac:dyDescent="0.25">
      <c r="B46" s="11" t="s">
        <v>141</v>
      </c>
      <c r="C46" s="76"/>
      <c r="D46" s="104">
        <f>SUM(Comparison!G169)</f>
        <v>0</v>
      </c>
      <c r="E46" s="105"/>
      <c r="F46" s="104">
        <f>SUM(Comparison!I169)</f>
        <v>0</v>
      </c>
      <c r="G46" s="104">
        <f>SUM(Comparison!J169)</f>
        <v>0</v>
      </c>
      <c r="H46" s="104">
        <f>SUM(Comparison!K169)</f>
        <v>0</v>
      </c>
      <c r="I46" s="106"/>
      <c r="J46" s="104">
        <f>+H46-F46</f>
        <v>0</v>
      </c>
      <c r="K46" s="88"/>
    </row>
    <row r="47" spans="1:14" s="48" customFormat="1" x14ac:dyDescent="0.25">
      <c r="B47" s="11" t="s">
        <v>142</v>
      </c>
      <c r="C47" s="76"/>
      <c r="D47" s="268">
        <f>SUM(Comparison!G170)</f>
        <v>382030</v>
      </c>
      <c r="E47" s="105"/>
      <c r="F47" s="268">
        <f>SUM(Comparison!I170)</f>
        <v>650000</v>
      </c>
      <c r="G47" s="104">
        <f>SUM(Comparison!J170)</f>
        <v>0</v>
      </c>
      <c r="H47" s="268">
        <f>SUM(Comparison!K170)</f>
        <v>550000</v>
      </c>
      <c r="I47" s="106"/>
      <c r="J47" s="107">
        <f>+H47-F47</f>
        <v>-100000</v>
      </c>
      <c r="K47" s="88"/>
    </row>
    <row r="48" spans="1:14" s="48" customFormat="1" x14ac:dyDescent="0.25">
      <c r="B48" s="269" t="s">
        <v>252</v>
      </c>
      <c r="C48" s="76"/>
      <c r="D48" s="108">
        <f>SUM(D42:D47)</f>
        <v>1111942</v>
      </c>
      <c r="E48" s="109"/>
      <c r="F48" s="108">
        <f>SUM(F42:F47)</f>
        <v>606400</v>
      </c>
      <c r="G48" s="109"/>
      <c r="H48" s="108">
        <f>SUM(H42:H47)</f>
        <v>550000</v>
      </c>
      <c r="I48" s="76"/>
      <c r="J48" s="108">
        <f>SUM(J42:J47)</f>
        <v>-56400</v>
      </c>
      <c r="K48" s="88"/>
    </row>
    <row r="49" spans="2:12" s="48" customFormat="1" x14ac:dyDescent="0.25">
      <c r="B49" s="269"/>
      <c r="C49" s="76"/>
      <c r="D49" s="108"/>
      <c r="E49" s="109"/>
      <c r="F49" s="108"/>
      <c r="G49" s="109"/>
      <c r="H49" s="108"/>
      <c r="I49" s="76"/>
      <c r="J49" s="102"/>
      <c r="K49" s="88"/>
    </row>
    <row r="50" spans="2:12" s="48" customFormat="1" ht="16.5" thickBot="1" x14ac:dyDescent="0.3">
      <c r="B50" s="265" t="s">
        <v>253</v>
      </c>
      <c r="C50" s="266">
        <f>C37+C47</f>
        <v>0</v>
      </c>
      <c r="D50" s="267">
        <f>SUM(D48+D40)</f>
        <v>6356411</v>
      </c>
      <c r="E50" s="266">
        <f>E37+E47</f>
        <v>0</v>
      </c>
      <c r="F50" s="267">
        <f>SUM(F48+F40)</f>
        <v>-2135515</v>
      </c>
      <c r="G50" s="266">
        <f>G37+G47</f>
        <v>0</v>
      </c>
      <c r="H50" s="267">
        <f>SUM(H48+H40)</f>
        <v>358344</v>
      </c>
      <c r="I50" s="266">
        <f>I37+I47</f>
        <v>0</v>
      </c>
      <c r="J50" s="361">
        <f>SUM(J48+J40)</f>
        <v>2493859</v>
      </c>
      <c r="K50" s="88"/>
    </row>
    <row r="51" spans="2:12" s="48" customFormat="1" x14ac:dyDescent="0.25">
      <c r="B51" s="265"/>
      <c r="C51" s="266"/>
      <c r="D51" s="267"/>
      <c r="E51" s="266"/>
      <c r="F51" s="267"/>
      <c r="G51" s="266"/>
      <c r="H51" s="267"/>
      <c r="I51" s="266"/>
      <c r="J51" s="96"/>
      <c r="K51" s="88"/>
    </row>
    <row r="52" spans="2:12" s="48" customFormat="1" x14ac:dyDescent="0.25">
      <c r="B52" s="15" t="s">
        <v>6</v>
      </c>
      <c r="C52" s="86"/>
      <c r="D52" s="270">
        <v>82698652</v>
      </c>
      <c r="E52" s="86"/>
      <c r="F52" s="270">
        <f>+D54</f>
        <v>89055063</v>
      </c>
      <c r="G52" s="86"/>
      <c r="H52" s="270">
        <f>+F54</f>
        <v>86919548</v>
      </c>
      <c r="I52" s="76"/>
      <c r="J52" s="131"/>
      <c r="K52" s="88"/>
    </row>
    <row r="53" spans="2:12" s="48" customFormat="1" x14ac:dyDescent="0.25">
      <c r="B53" s="15"/>
      <c r="C53" s="86"/>
      <c r="D53" s="61"/>
      <c r="E53" s="86"/>
      <c r="F53" s="61"/>
      <c r="G53" s="86"/>
      <c r="H53" s="61"/>
      <c r="I53" s="76"/>
      <c r="J53" s="110"/>
      <c r="K53" s="88"/>
    </row>
    <row r="54" spans="2:12" s="48" customFormat="1" ht="16.5" thickBot="1" x14ac:dyDescent="0.3">
      <c r="B54" s="15" t="s">
        <v>7</v>
      </c>
      <c r="C54" s="86"/>
      <c r="D54" s="113">
        <f>+D52+D50</f>
        <v>89055063</v>
      </c>
      <c r="E54" s="114"/>
      <c r="F54" s="113">
        <f>+F52+F50</f>
        <v>86919548</v>
      </c>
      <c r="G54" s="114"/>
      <c r="H54" s="113">
        <f>+H52+H50</f>
        <v>87277892</v>
      </c>
      <c r="I54" s="76"/>
      <c r="J54" s="113"/>
      <c r="K54" s="88"/>
    </row>
    <row r="55" spans="2:12" ht="16.5" thickTop="1" x14ac:dyDescent="0.25">
      <c r="B55" s="52"/>
      <c r="D55" s="117"/>
      <c r="F55" s="117"/>
      <c r="H55" s="117"/>
      <c r="J55" s="110"/>
      <c r="K55" s="88"/>
      <c r="L55" s="48" t="s">
        <v>4</v>
      </c>
    </row>
    <row r="56" spans="2:12" x14ac:dyDescent="0.25">
      <c r="B56" s="269" t="s">
        <v>266</v>
      </c>
      <c r="D56" s="306">
        <f>SUM(D54/D37)</f>
        <v>0.31376666244518003</v>
      </c>
      <c r="F56" s="306">
        <f>SUM(F54/F37)</f>
        <v>0.29381456713900422</v>
      </c>
      <c r="H56" s="306">
        <f>SUM(H54/H37)</f>
        <v>0.28374593789413449</v>
      </c>
      <c r="J56" s="15"/>
    </row>
  </sheetData>
  <mergeCells count="3">
    <mergeCell ref="B1:J1"/>
    <mergeCell ref="B2:J2"/>
    <mergeCell ref="B3:J3"/>
  </mergeCells>
  <phoneticPr fontId="5" type="noConversion"/>
  <printOptions horizontalCentered="1"/>
  <pageMargins left="0.5" right="0.5" top="0.75" bottom="0.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zoomScaleNormal="100" workbookViewId="0">
      <selection activeCell="I184" sqref="I184"/>
    </sheetView>
  </sheetViews>
  <sheetFormatPr defaultColWidth="12.42578125" defaultRowHeight="15.75" x14ac:dyDescent="0.25"/>
  <cols>
    <col min="1" max="1" width="5.5703125" style="48" bestFit="1" customWidth="1"/>
    <col min="2" max="2" width="47.5703125" style="48" bestFit="1" customWidth="1"/>
    <col min="3" max="3" width="19.85546875" style="48" hidden="1" customWidth="1"/>
    <col min="4" max="4" width="1.85546875" style="76" hidden="1" customWidth="1"/>
    <col min="5" max="5" width="15.140625" style="48" hidden="1" customWidth="1"/>
    <col min="6" max="6" width="1.85546875" style="76" hidden="1" customWidth="1"/>
    <col min="7" max="7" width="18.140625" style="48" bestFit="1" customWidth="1"/>
    <col min="8" max="8" width="1.85546875" style="76" customWidth="1"/>
    <col min="9" max="9" width="16.42578125" style="48" customWidth="1"/>
    <col min="10" max="10" width="1.85546875" style="76" customWidth="1"/>
    <col min="11" max="11" width="18.140625" style="48" bestFit="1" customWidth="1"/>
    <col min="12" max="12" width="1.85546875" style="76" customWidth="1"/>
    <col min="13" max="13" width="16.42578125" style="48" bestFit="1" customWidth="1"/>
    <col min="14" max="14" width="8.85546875" style="261" bestFit="1" customWidth="1"/>
    <col min="15" max="15" width="13.5703125" style="1" customWidth="1"/>
    <col min="16" max="16" width="20.5703125" style="1" customWidth="1"/>
    <col min="17" max="16384" width="12.42578125" style="1"/>
  </cols>
  <sheetData>
    <row r="1" spans="1:20" ht="22.5" x14ac:dyDescent="0.3">
      <c r="B1" s="373" t="s">
        <v>101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20" ht="22.5" x14ac:dyDescent="0.3">
      <c r="B2" s="373" t="s">
        <v>8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20" ht="22.5" x14ac:dyDescent="0.3">
      <c r="B3" s="373" t="s">
        <v>200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20" x14ac:dyDescent="0.25">
      <c r="B4" s="49"/>
      <c r="C4" s="49"/>
      <c r="D4" s="50"/>
      <c r="E4" s="49"/>
      <c r="F4" s="51"/>
      <c r="G4" s="49"/>
      <c r="H4" s="51"/>
      <c r="I4" s="49"/>
      <c r="J4" s="51"/>
      <c r="K4" s="49"/>
      <c r="L4" s="51"/>
      <c r="M4" s="49"/>
    </row>
    <row r="5" spans="1:20" x14ac:dyDescent="0.25">
      <c r="B5" s="52"/>
      <c r="C5" s="53"/>
      <c r="D5" s="54"/>
      <c r="F5" s="54"/>
      <c r="H5" s="54"/>
      <c r="I5" s="16" t="s">
        <v>246</v>
      </c>
      <c r="J5" s="54"/>
      <c r="K5" s="16" t="s">
        <v>285</v>
      </c>
      <c r="L5" s="54"/>
      <c r="M5" s="16"/>
    </row>
    <row r="6" spans="1:20" x14ac:dyDescent="0.25">
      <c r="B6" s="52"/>
      <c r="C6" s="53" t="s">
        <v>0</v>
      </c>
      <c r="D6" s="55"/>
      <c r="E6" s="16" t="s">
        <v>10</v>
      </c>
      <c r="F6" s="55"/>
      <c r="G6" s="16" t="s">
        <v>244</v>
      </c>
      <c r="H6" s="55"/>
      <c r="I6" s="16" t="s">
        <v>265</v>
      </c>
      <c r="J6" s="55"/>
      <c r="K6" s="16" t="s">
        <v>1</v>
      </c>
      <c r="L6" s="55"/>
      <c r="M6" s="16"/>
    </row>
    <row r="7" spans="1:20" x14ac:dyDescent="0.25">
      <c r="B7" s="52"/>
      <c r="C7" s="56" t="s">
        <v>2</v>
      </c>
      <c r="D7" s="55"/>
      <c r="E7" s="57" t="s">
        <v>2</v>
      </c>
      <c r="F7" s="55"/>
      <c r="G7" s="57" t="s">
        <v>2</v>
      </c>
      <c r="H7" s="55"/>
      <c r="I7" s="18" t="s">
        <v>3</v>
      </c>
      <c r="J7" s="55"/>
      <c r="K7" s="18" t="s">
        <v>3</v>
      </c>
      <c r="L7" s="55"/>
      <c r="M7" s="18" t="s">
        <v>38</v>
      </c>
    </row>
    <row r="8" spans="1:20" x14ac:dyDescent="0.25">
      <c r="B8" s="52"/>
      <c r="C8" s="118"/>
      <c r="D8" s="59"/>
      <c r="F8" s="59"/>
      <c r="G8" s="118"/>
      <c r="H8" s="59"/>
      <c r="I8" s="118"/>
      <c r="J8" s="59"/>
      <c r="K8" s="52"/>
      <c r="L8" s="59"/>
      <c r="M8" s="52"/>
    </row>
    <row r="9" spans="1:20" s="7" customFormat="1" x14ac:dyDescent="0.25">
      <c r="A9" s="58"/>
      <c r="B9" s="43" t="s">
        <v>9</v>
      </c>
      <c r="C9" s="59"/>
      <c r="D9" s="59"/>
      <c r="E9" s="11"/>
      <c r="F9" s="59"/>
      <c r="G9" s="59"/>
      <c r="H9" s="59"/>
      <c r="I9" s="59"/>
      <c r="J9" s="59"/>
      <c r="K9" s="11"/>
      <c r="L9" s="59"/>
      <c r="M9" s="59"/>
      <c r="N9" s="261"/>
      <c r="O9" s="5"/>
      <c r="P9" s="6"/>
      <c r="Q9" s="5"/>
      <c r="R9" s="6"/>
      <c r="S9" s="1"/>
      <c r="T9" s="1"/>
    </row>
    <row r="10" spans="1:20" x14ac:dyDescent="0.25">
      <c r="B10" s="11" t="s">
        <v>20</v>
      </c>
      <c r="C10" s="24">
        <v>113603906</v>
      </c>
      <c r="D10" s="60"/>
      <c r="E10" s="61">
        <v>118027939.36</v>
      </c>
      <c r="F10" s="60"/>
      <c r="G10" s="61">
        <v>136876895</v>
      </c>
      <c r="H10" s="60"/>
      <c r="I10" s="61">
        <v>146426125</v>
      </c>
      <c r="J10" s="60"/>
      <c r="K10" s="61">
        <v>147143871</v>
      </c>
      <c r="L10" s="60"/>
      <c r="M10" s="61">
        <f>+K10-I10</f>
        <v>717746</v>
      </c>
    </row>
    <row r="11" spans="1:20" x14ac:dyDescent="0.25">
      <c r="B11" s="11" t="s">
        <v>21</v>
      </c>
      <c r="C11" s="62">
        <v>26950747</v>
      </c>
      <c r="D11" s="63"/>
      <c r="E11" s="64">
        <v>26379305</v>
      </c>
      <c r="F11" s="63"/>
      <c r="G11" s="64">
        <v>148276608</v>
      </c>
      <c r="H11" s="63"/>
      <c r="I11" s="64">
        <v>141763269</v>
      </c>
      <c r="J11" s="63"/>
      <c r="K11" s="65">
        <v>155574161</v>
      </c>
      <c r="L11" s="63"/>
      <c r="M11" s="65">
        <f>+K11-I11</f>
        <v>13810892</v>
      </c>
    </row>
    <row r="12" spans="1:20" x14ac:dyDescent="0.25">
      <c r="B12" s="11" t="s">
        <v>22</v>
      </c>
      <c r="C12" s="62">
        <v>148794</v>
      </c>
      <c r="D12" s="66"/>
      <c r="E12" s="64">
        <v>509939</v>
      </c>
      <c r="F12" s="66"/>
      <c r="G12" s="63">
        <v>3916731</v>
      </c>
      <c r="H12" s="66"/>
      <c r="I12" s="63">
        <v>4900000</v>
      </c>
      <c r="J12" s="66"/>
      <c r="K12" s="87">
        <v>4682000</v>
      </c>
      <c r="L12" s="66"/>
      <c r="M12" s="87">
        <f>+K12-I12</f>
        <v>-218000</v>
      </c>
    </row>
    <row r="13" spans="1:20" s="7" customFormat="1" x14ac:dyDescent="0.25">
      <c r="A13" s="15" t="s">
        <v>4</v>
      </c>
      <c r="B13" s="67"/>
      <c r="C13" s="68"/>
      <c r="D13" s="67"/>
      <c r="E13" s="68"/>
      <c r="F13" s="67"/>
      <c r="G13" s="67"/>
      <c r="H13" s="67"/>
      <c r="I13" s="67"/>
      <c r="J13" s="67"/>
      <c r="K13" s="67"/>
      <c r="L13" s="48"/>
      <c r="M13" s="67"/>
      <c r="N13" s="316"/>
    </row>
    <row r="14" spans="1:20" x14ac:dyDescent="0.25">
      <c r="B14" s="69" t="s">
        <v>37</v>
      </c>
      <c r="C14" s="70">
        <f>SUM(C9:C12)</f>
        <v>140703447</v>
      </c>
      <c r="D14" s="71"/>
      <c r="E14" s="72">
        <f>SUM(E9:E12)</f>
        <v>144917183.36000001</v>
      </c>
      <c r="F14" s="72"/>
      <c r="G14" s="73">
        <f>SUM(G9:G12)</f>
        <v>289070234</v>
      </c>
      <c r="H14" s="73"/>
      <c r="I14" s="73">
        <f>SUM(I9:I12)</f>
        <v>293089394</v>
      </c>
      <c r="J14" s="73"/>
      <c r="K14" s="73">
        <f>SUM(K9:K12)</f>
        <v>307400032</v>
      </c>
      <c r="L14" s="74"/>
      <c r="M14" s="75">
        <f>SUM(M9:M12)</f>
        <v>14310638</v>
      </c>
      <c r="N14" s="317"/>
    </row>
    <row r="15" spans="1:20" x14ac:dyDescent="0.25">
      <c r="B15" s="77"/>
      <c r="C15" s="78"/>
      <c r="D15" s="60"/>
      <c r="E15" s="79" t="s">
        <v>4</v>
      </c>
      <c r="F15" s="60"/>
      <c r="G15" s="80"/>
      <c r="H15" s="60"/>
      <c r="I15" s="80"/>
      <c r="J15" s="60"/>
      <c r="K15" s="80"/>
      <c r="L15" s="60"/>
      <c r="M15" s="80"/>
    </row>
    <row r="16" spans="1:20" x14ac:dyDescent="0.25">
      <c r="B16" s="43" t="s">
        <v>5</v>
      </c>
      <c r="C16" s="14"/>
      <c r="D16" s="60"/>
      <c r="E16" s="11"/>
      <c r="F16" s="60"/>
      <c r="G16" s="52"/>
      <c r="H16" s="60"/>
      <c r="I16" s="52"/>
      <c r="J16" s="60"/>
      <c r="K16" s="52"/>
      <c r="L16" s="60"/>
      <c r="M16" s="52"/>
    </row>
    <row r="17" spans="1:17" x14ac:dyDescent="0.25">
      <c r="B17" s="43" t="s">
        <v>16</v>
      </c>
      <c r="C17" s="119" t="e">
        <f>ROUND(C23/C$161,4)+0.0001</f>
        <v>#REF!</v>
      </c>
      <c r="D17" s="63"/>
      <c r="E17" s="120"/>
      <c r="F17" s="63"/>
      <c r="G17" s="120"/>
      <c r="H17" s="63"/>
      <c r="I17" s="120"/>
      <c r="J17" s="63"/>
      <c r="K17" s="120"/>
      <c r="L17" s="63"/>
      <c r="M17" s="52"/>
    </row>
    <row r="18" spans="1:17" x14ac:dyDescent="0.25">
      <c r="A18" s="48">
        <v>6100</v>
      </c>
      <c r="B18" s="11" t="s">
        <v>11</v>
      </c>
      <c r="C18" s="24">
        <f>61+59153730</f>
        <v>59153791</v>
      </c>
      <c r="D18" s="67"/>
      <c r="E18" s="61">
        <v>60789376</v>
      </c>
      <c r="F18" s="60"/>
      <c r="G18" s="61">
        <f>166554629+2721</f>
        <v>166557350</v>
      </c>
      <c r="H18" s="60"/>
      <c r="I18" s="61">
        <v>168398271</v>
      </c>
      <c r="J18" s="60"/>
      <c r="K18" s="61">
        <v>176326009</v>
      </c>
      <c r="L18" s="67"/>
      <c r="M18" s="101">
        <f>+K18-I18</f>
        <v>7927738</v>
      </c>
      <c r="N18" s="261">
        <f>SUM(M18/I18)</f>
        <v>4.7077312331787538E-2</v>
      </c>
    </row>
    <row r="19" spans="1:17" x14ac:dyDescent="0.25">
      <c r="A19" s="48">
        <v>6200</v>
      </c>
      <c r="B19" s="11" t="s">
        <v>12</v>
      </c>
      <c r="C19" s="121">
        <v>524031</v>
      </c>
      <c r="D19" s="60"/>
      <c r="E19" s="64">
        <v>426184</v>
      </c>
      <c r="F19" s="63"/>
      <c r="G19" s="64">
        <v>1511771</v>
      </c>
      <c r="H19" s="63"/>
      <c r="I19" s="64">
        <v>2058151</v>
      </c>
      <c r="J19" s="63"/>
      <c r="K19" s="64">
        <v>1768370</v>
      </c>
      <c r="L19" s="63"/>
      <c r="M19" s="65">
        <f>+K19-I19</f>
        <v>-289781</v>
      </c>
    </row>
    <row r="20" spans="1:17" x14ac:dyDescent="0.25">
      <c r="A20" s="48">
        <v>6300</v>
      </c>
      <c r="B20" s="11" t="s">
        <v>13</v>
      </c>
      <c r="C20" s="121">
        <v>1289162</v>
      </c>
      <c r="D20" s="63"/>
      <c r="E20" s="64">
        <v>1210981</v>
      </c>
      <c r="F20" s="63"/>
      <c r="G20" s="64">
        <v>3677742</v>
      </c>
      <c r="H20" s="63"/>
      <c r="I20" s="64">
        <v>4765141</v>
      </c>
      <c r="J20" s="63"/>
      <c r="K20" s="64">
        <v>8546969</v>
      </c>
      <c r="L20" s="63"/>
      <c r="M20" s="65">
        <f>+K20-I20</f>
        <v>3781828</v>
      </c>
    </row>
    <row r="21" spans="1:17" x14ac:dyDescent="0.25">
      <c r="A21" s="48">
        <v>6400</v>
      </c>
      <c r="B21" s="11" t="s">
        <v>14</v>
      </c>
      <c r="C21" s="121">
        <v>168213</v>
      </c>
      <c r="D21" s="63"/>
      <c r="E21" s="64">
        <v>187203</v>
      </c>
      <c r="F21" s="63"/>
      <c r="G21" s="64">
        <v>1428654</v>
      </c>
      <c r="H21" s="63"/>
      <c r="I21" s="64">
        <v>1654484</v>
      </c>
      <c r="J21" s="63"/>
      <c r="K21" s="64">
        <v>1581468</v>
      </c>
      <c r="L21" s="63"/>
      <c r="M21" s="65">
        <f>+K21-I21</f>
        <v>-73016</v>
      </c>
    </row>
    <row r="22" spans="1:17" x14ac:dyDescent="0.25">
      <c r="A22" s="48">
        <v>6600</v>
      </c>
      <c r="B22" s="11" t="s">
        <v>15</v>
      </c>
      <c r="C22" s="122">
        <v>0</v>
      </c>
      <c r="D22" s="63"/>
      <c r="E22" s="64">
        <v>21785</v>
      </c>
      <c r="F22" s="63"/>
      <c r="G22" s="64">
        <v>65614</v>
      </c>
      <c r="H22" s="63">
        <v>16583</v>
      </c>
      <c r="I22" s="64">
        <v>171346</v>
      </c>
      <c r="J22" s="63"/>
      <c r="K22" s="64">
        <v>55500</v>
      </c>
      <c r="L22" s="63"/>
      <c r="M22" s="65">
        <f>+K22-I22</f>
        <v>-115846</v>
      </c>
    </row>
    <row r="23" spans="1:17" x14ac:dyDescent="0.25">
      <c r="B23" s="16" t="s">
        <v>17</v>
      </c>
      <c r="C23" s="82">
        <f>+C18+C19+C20+C21+C22</f>
        <v>61135197</v>
      </c>
      <c r="D23" s="66"/>
      <c r="E23" s="83">
        <f>+E18+E19+E20+E21+E22</f>
        <v>62635529</v>
      </c>
      <c r="F23" s="84"/>
      <c r="G23" s="83">
        <f>SUM(G18:G22)</f>
        <v>173241131</v>
      </c>
      <c r="H23" s="84"/>
      <c r="I23" s="83">
        <f>SUM(I18:I22)</f>
        <v>177047393</v>
      </c>
      <c r="J23" s="84"/>
      <c r="K23" s="83">
        <f>SUM(K18:K22)</f>
        <v>188278316</v>
      </c>
      <c r="L23" s="66"/>
      <c r="M23" s="83">
        <f>SUM(M18:M22)</f>
        <v>11230923</v>
      </c>
      <c r="P23" s="1">
        <v>173241131</v>
      </c>
      <c r="Q23" s="370">
        <f>SUM(G23-P23)</f>
        <v>0</v>
      </c>
    </row>
    <row r="24" spans="1:17" x14ac:dyDescent="0.25">
      <c r="B24" s="52"/>
      <c r="C24" s="123"/>
      <c r="D24" s="67"/>
      <c r="E24" s="52"/>
      <c r="F24" s="67"/>
      <c r="G24" s="52"/>
      <c r="H24" s="67"/>
      <c r="I24" s="52"/>
      <c r="J24" s="67"/>
      <c r="K24" s="52"/>
      <c r="L24" s="67"/>
      <c r="M24" s="52"/>
    </row>
    <row r="25" spans="1:17" x14ac:dyDescent="0.25">
      <c r="B25" s="43" t="s">
        <v>18</v>
      </c>
      <c r="C25" s="119" t="e">
        <f>ROUND(C31/C$161,4)</f>
        <v>#REF!</v>
      </c>
      <c r="D25" s="63"/>
      <c r="F25" s="63"/>
      <c r="G25" s="120"/>
      <c r="H25" s="63"/>
      <c r="I25" s="120"/>
      <c r="J25" s="63"/>
      <c r="K25" s="120"/>
      <c r="L25" s="63"/>
      <c r="M25" s="96"/>
      <c r="P25" s="3"/>
    </row>
    <row r="26" spans="1:17" x14ac:dyDescent="0.25">
      <c r="A26" s="48">
        <v>6100</v>
      </c>
      <c r="B26" s="11" t="s">
        <v>11</v>
      </c>
      <c r="C26" s="24">
        <v>1915548</v>
      </c>
      <c r="D26" s="63"/>
      <c r="E26" s="61">
        <v>2100371</v>
      </c>
      <c r="F26" s="60"/>
      <c r="G26" s="61">
        <v>3251827</v>
      </c>
      <c r="H26" s="60"/>
      <c r="I26" s="61">
        <v>3262639</v>
      </c>
      <c r="J26" s="60"/>
      <c r="K26" s="61">
        <v>3358770</v>
      </c>
      <c r="L26" s="63"/>
      <c r="M26" s="101">
        <f>+K26-I26</f>
        <v>96131</v>
      </c>
      <c r="N26" s="261">
        <f>SUM(M26/I26)</f>
        <v>2.9464185280688424E-2</v>
      </c>
      <c r="P26" s="3"/>
    </row>
    <row r="27" spans="1:17" x14ac:dyDescent="0.25">
      <c r="A27" s="48">
        <v>6200</v>
      </c>
      <c r="B27" s="11" t="s">
        <v>12</v>
      </c>
      <c r="C27" s="121">
        <v>28183</v>
      </c>
      <c r="D27" s="63"/>
      <c r="E27" s="124">
        <v>32320</v>
      </c>
      <c r="F27" s="63"/>
      <c r="G27" s="124">
        <v>86513</v>
      </c>
      <c r="H27" s="63"/>
      <c r="I27" s="124">
        <v>92707</v>
      </c>
      <c r="J27" s="63"/>
      <c r="K27" s="124">
        <v>104412</v>
      </c>
      <c r="L27" s="63"/>
      <c r="M27" s="125">
        <f>+K27-I27</f>
        <v>11705</v>
      </c>
      <c r="P27" s="3"/>
    </row>
    <row r="28" spans="1:17" x14ac:dyDescent="0.25">
      <c r="A28" s="48">
        <v>6300</v>
      </c>
      <c r="B28" s="11" t="s">
        <v>13</v>
      </c>
      <c r="C28" s="121">
        <v>49246</v>
      </c>
      <c r="D28" s="63"/>
      <c r="E28" s="124">
        <v>70096</v>
      </c>
      <c r="F28" s="63"/>
      <c r="G28" s="124">
        <v>104676</v>
      </c>
      <c r="H28" s="63"/>
      <c r="I28" s="124">
        <v>88516</v>
      </c>
      <c r="J28" s="63"/>
      <c r="K28" s="124">
        <v>105909</v>
      </c>
      <c r="L28" s="63"/>
      <c r="M28" s="126">
        <f>+K28-I28</f>
        <v>17393</v>
      </c>
      <c r="P28" s="3"/>
    </row>
    <row r="29" spans="1:17" x14ac:dyDescent="0.25">
      <c r="A29" s="48">
        <v>6400</v>
      </c>
      <c r="B29" s="11" t="s">
        <v>14</v>
      </c>
      <c r="C29" s="121">
        <v>304</v>
      </c>
      <c r="D29" s="60"/>
      <c r="E29" s="124">
        <v>466</v>
      </c>
      <c r="F29" s="60"/>
      <c r="G29" s="124">
        <v>16769</v>
      </c>
      <c r="H29" s="60"/>
      <c r="I29" s="124">
        <v>26061</v>
      </c>
      <c r="J29" s="60"/>
      <c r="K29" s="124">
        <v>21781</v>
      </c>
      <c r="L29" s="60"/>
      <c r="M29" s="125">
        <f>+K29-I29</f>
        <v>-4280</v>
      </c>
      <c r="P29" s="3"/>
    </row>
    <row r="30" spans="1:17" x14ac:dyDescent="0.25">
      <c r="A30" s="48">
        <v>6600</v>
      </c>
      <c r="B30" s="11" t="s">
        <v>15</v>
      </c>
      <c r="C30" s="121">
        <v>107009</v>
      </c>
      <c r="D30" s="63"/>
      <c r="E30" s="124">
        <v>100957</v>
      </c>
      <c r="F30" s="63"/>
      <c r="G30" s="124">
        <v>131803</v>
      </c>
      <c r="H30" s="63"/>
      <c r="I30" s="124">
        <v>147228</v>
      </c>
      <c r="J30" s="63"/>
      <c r="K30" s="124">
        <v>106400</v>
      </c>
      <c r="L30" s="63"/>
      <c r="M30" s="125">
        <f>+K30-I30</f>
        <v>-40828</v>
      </c>
      <c r="P30" s="3"/>
    </row>
    <row r="31" spans="1:17" x14ac:dyDescent="0.25">
      <c r="B31" s="16" t="s">
        <v>19</v>
      </c>
      <c r="C31" s="82">
        <f>+C26+C27+C28+C29+C30</f>
        <v>2100290</v>
      </c>
      <c r="D31" s="60"/>
      <c r="E31" s="83">
        <f>+E26+E27+E28+E29+E30</f>
        <v>2304210</v>
      </c>
      <c r="F31" s="60"/>
      <c r="G31" s="83">
        <f>SUM(G26:G30)</f>
        <v>3591588</v>
      </c>
      <c r="H31" s="60"/>
      <c r="I31" s="83">
        <f>SUM(I26:I30)</f>
        <v>3617151</v>
      </c>
      <c r="J31" s="60"/>
      <c r="K31" s="83">
        <f>SUM(K26:K30)</f>
        <v>3697272</v>
      </c>
      <c r="L31" s="60"/>
      <c r="M31" s="83">
        <f>SUM(M26:M30)</f>
        <v>80121</v>
      </c>
      <c r="P31" s="3"/>
    </row>
    <row r="32" spans="1:17" x14ac:dyDescent="0.25">
      <c r="B32" s="15"/>
      <c r="C32" s="19"/>
      <c r="D32" s="63"/>
      <c r="F32" s="63"/>
      <c r="H32" s="63"/>
      <c r="J32" s="63"/>
      <c r="L32" s="63"/>
      <c r="M32" s="96"/>
    </row>
    <row r="33" spans="1:17" x14ac:dyDescent="0.25">
      <c r="B33" s="43" t="s">
        <v>108</v>
      </c>
      <c r="C33" s="119" t="e">
        <f>ROUND(C39/C$161,4)</f>
        <v>#REF!</v>
      </c>
      <c r="D33" s="127"/>
      <c r="F33" s="59"/>
      <c r="G33" s="120"/>
      <c r="H33" s="59"/>
      <c r="I33" s="120"/>
      <c r="J33" s="59"/>
      <c r="K33" s="120"/>
      <c r="L33" s="59"/>
      <c r="M33" s="96"/>
    </row>
    <row r="34" spans="1:17" x14ac:dyDescent="0.25">
      <c r="A34" s="48">
        <v>6100</v>
      </c>
      <c r="B34" s="11" t="s">
        <v>11</v>
      </c>
      <c r="C34" s="24">
        <v>727522</v>
      </c>
      <c r="D34" s="54"/>
      <c r="E34" s="61">
        <v>696147</v>
      </c>
      <c r="F34" s="60"/>
      <c r="G34" s="61">
        <v>2347561</v>
      </c>
      <c r="H34" s="60"/>
      <c r="I34" s="61">
        <v>3407987</v>
      </c>
      <c r="J34" s="60"/>
      <c r="K34" s="61">
        <v>3366715</v>
      </c>
      <c r="L34" s="60"/>
      <c r="M34" s="101">
        <f>+K34-I34</f>
        <v>-41272</v>
      </c>
      <c r="N34" s="261">
        <f>SUM(M34/I34)</f>
        <v>-1.2110374834176305E-2</v>
      </c>
    </row>
    <row r="35" spans="1:17" x14ac:dyDescent="0.25">
      <c r="A35" s="48">
        <v>6200</v>
      </c>
      <c r="B35" s="11" t="s">
        <v>12</v>
      </c>
      <c r="C35" s="62">
        <v>45747</v>
      </c>
      <c r="E35" s="65">
        <v>57527</v>
      </c>
      <c r="F35" s="87"/>
      <c r="G35" s="65">
        <v>105196</v>
      </c>
      <c r="H35" s="87"/>
      <c r="I35" s="65">
        <v>147343</v>
      </c>
      <c r="J35" s="87"/>
      <c r="K35" s="65">
        <v>140159</v>
      </c>
      <c r="L35" s="87"/>
      <c r="M35" s="65">
        <f>+K35-I35</f>
        <v>-7184</v>
      </c>
    </row>
    <row r="36" spans="1:17" x14ac:dyDescent="0.25">
      <c r="A36" s="48">
        <v>6300</v>
      </c>
      <c r="B36" s="11" t="s">
        <v>13</v>
      </c>
      <c r="C36" s="62">
        <v>70023</v>
      </c>
      <c r="E36" s="65">
        <v>77372</v>
      </c>
      <c r="F36" s="87"/>
      <c r="G36" s="65">
        <v>133393</v>
      </c>
      <c r="H36" s="87"/>
      <c r="I36" s="65">
        <v>150398</v>
      </c>
      <c r="J36" s="87"/>
      <c r="K36" s="65">
        <v>105200</v>
      </c>
      <c r="L36" s="87"/>
      <c r="M36" s="65">
        <f>+K36-I36</f>
        <v>-45198</v>
      </c>
    </row>
    <row r="37" spans="1:17" x14ac:dyDescent="0.25">
      <c r="A37" s="48">
        <v>6400</v>
      </c>
      <c r="B37" s="11" t="s">
        <v>14</v>
      </c>
      <c r="C37" s="62">
        <v>124829</v>
      </c>
      <c r="E37" s="65">
        <v>109573</v>
      </c>
      <c r="F37" s="87"/>
      <c r="G37" s="65">
        <v>316717</v>
      </c>
      <c r="H37" s="87"/>
      <c r="I37" s="65">
        <v>325825</v>
      </c>
      <c r="J37" s="87"/>
      <c r="K37" s="65">
        <v>311575</v>
      </c>
      <c r="L37" s="87"/>
      <c r="M37" s="65">
        <f>+K37-I37</f>
        <v>-14250</v>
      </c>
      <c r="P37" s="4"/>
      <c r="Q37" s="3"/>
    </row>
    <row r="38" spans="1:17" x14ac:dyDescent="0.25">
      <c r="A38" s="48">
        <v>6600</v>
      </c>
      <c r="B38" s="11" t="s">
        <v>15</v>
      </c>
      <c r="C38" s="128">
        <v>0</v>
      </c>
      <c r="E38" s="129">
        <v>0</v>
      </c>
      <c r="F38" s="87"/>
      <c r="G38" s="129">
        <v>6533</v>
      </c>
      <c r="H38" s="87"/>
      <c r="I38" s="129">
        <v>7797</v>
      </c>
      <c r="J38" s="87"/>
      <c r="K38" s="129">
        <v>0</v>
      </c>
      <c r="L38" s="87"/>
      <c r="M38" s="65">
        <f>+K38-I38</f>
        <v>-7797</v>
      </c>
      <c r="P38" s="4"/>
      <c r="Q38" s="3"/>
    </row>
    <row r="39" spans="1:17" x14ac:dyDescent="0.25">
      <c r="B39" s="16" t="s">
        <v>109</v>
      </c>
      <c r="C39" s="82">
        <f>+C34+C35+C36+C37+C38</f>
        <v>968121</v>
      </c>
      <c r="E39" s="83">
        <f>+E34+E35+E36+E37+E38</f>
        <v>940619</v>
      </c>
      <c r="F39" s="86"/>
      <c r="G39" s="83">
        <f>SUM(G34:G38)</f>
        <v>2909400</v>
      </c>
      <c r="H39" s="86"/>
      <c r="I39" s="83">
        <f>SUM(I34:I38)</f>
        <v>4039350</v>
      </c>
      <c r="J39" s="86"/>
      <c r="K39" s="83">
        <f>SUM(K34:K38)</f>
        <v>3923649</v>
      </c>
      <c r="L39" s="86"/>
      <c r="M39" s="83">
        <f>SUM(M34:M38)</f>
        <v>-115701</v>
      </c>
      <c r="P39" s="4"/>
      <c r="Q39" s="3"/>
    </row>
    <row r="40" spans="1:17" x14ac:dyDescent="0.25">
      <c r="B40" s="15"/>
      <c r="C40" s="19"/>
      <c r="M40" s="96"/>
      <c r="P40" s="4"/>
      <c r="Q40" s="3"/>
    </row>
    <row r="41" spans="1:17" x14ac:dyDescent="0.25">
      <c r="B41" s="43" t="s">
        <v>102</v>
      </c>
      <c r="C41" s="119" t="e">
        <f>ROUND(C47/C$161,4)</f>
        <v>#REF!</v>
      </c>
      <c r="G41" s="120"/>
      <c r="I41" s="120"/>
      <c r="K41" s="120"/>
      <c r="M41" s="96"/>
      <c r="P41" s="4"/>
      <c r="Q41" s="3"/>
    </row>
    <row r="42" spans="1:17" x14ac:dyDescent="0.25">
      <c r="A42" s="48">
        <v>6100</v>
      </c>
      <c r="B42" s="11" t="s">
        <v>11</v>
      </c>
      <c r="C42" s="24">
        <v>844392</v>
      </c>
      <c r="E42" s="61">
        <v>897064</v>
      </c>
      <c r="F42" s="86"/>
      <c r="G42" s="61">
        <v>3348959</v>
      </c>
      <c r="H42" s="86"/>
      <c r="I42" s="61">
        <v>3547964</v>
      </c>
      <c r="J42" s="86"/>
      <c r="K42" s="61">
        <v>3437303</v>
      </c>
      <c r="L42" s="86"/>
      <c r="M42" s="101">
        <f>+K42-I42</f>
        <v>-110661</v>
      </c>
      <c r="N42" s="261">
        <f>SUM(M42/I42)</f>
        <v>-3.119000080045908E-2</v>
      </c>
      <c r="P42" s="4"/>
      <c r="Q42" s="3"/>
    </row>
    <row r="43" spans="1:17" x14ac:dyDescent="0.25">
      <c r="A43" s="48">
        <v>6200</v>
      </c>
      <c r="B43" s="11" t="s">
        <v>12</v>
      </c>
      <c r="C43" s="62">
        <v>54842</v>
      </c>
      <c r="E43" s="65">
        <v>38610</v>
      </c>
      <c r="F43" s="87"/>
      <c r="G43" s="65">
        <v>24809</v>
      </c>
      <c r="H43" s="87"/>
      <c r="I43" s="65">
        <v>74528</v>
      </c>
      <c r="J43" s="87"/>
      <c r="K43" s="65">
        <v>38370</v>
      </c>
      <c r="L43" s="87"/>
      <c r="M43" s="65">
        <f>+K43-I43</f>
        <v>-36158</v>
      </c>
      <c r="P43" s="4"/>
      <c r="Q43" s="3"/>
    </row>
    <row r="44" spans="1:17" x14ac:dyDescent="0.25">
      <c r="A44" s="48">
        <v>6300</v>
      </c>
      <c r="B44" s="11" t="s">
        <v>13</v>
      </c>
      <c r="C44" s="62">
        <v>88920</v>
      </c>
      <c r="E44" s="65">
        <v>106796</v>
      </c>
      <c r="F44" s="87"/>
      <c r="G44" s="65">
        <v>100207</v>
      </c>
      <c r="H44" s="87"/>
      <c r="I44" s="65">
        <v>134542</v>
      </c>
      <c r="J44" s="87"/>
      <c r="K44" s="65">
        <v>103910</v>
      </c>
      <c r="L44" s="87"/>
      <c r="M44" s="65">
        <f>+K44-I44</f>
        <v>-30632</v>
      </c>
      <c r="P44" s="4"/>
      <c r="Q44" s="3"/>
    </row>
    <row r="45" spans="1:17" x14ac:dyDescent="0.25">
      <c r="A45" s="48">
        <v>6400</v>
      </c>
      <c r="B45" s="11" t="s">
        <v>14</v>
      </c>
      <c r="C45" s="62">
        <v>45548</v>
      </c>
      <c r="E45" s="65">
        <v>35961</v>
      </c>
      <c r="F45" s="87"/>
      <c r="G45" s="65">
        <v>69732</v>
      </c>
      <c r="H45" s="87"/>
      <c r="I45" s="65">
        <v>99636</v>
      </c>
      <c r="J45" s="87"/>
      <c r="K45" s="65">
        <v>79615</v>
      </c>
      <c r="L45" s="87"/>
      <c r="M45" s="65">
        <f>+K45-I45</f>
        <v>-20021</v>
      </c>
      <c r="P45" s="4"/>
      <c r="Q45" s="3"/>
    </row>
    <row r="46" spans="1:17" x14ac:dyDescent="0.25">
      <c r="A46" s="48">
        <v>6600</v>
      </c>
      <c r="B46" s="11" t="s">
        <v>15</v>
      </c>
      <c r="C46" s="122">
        <v>0</v>
      </c>
      <c r="E46" s="129">
        <v>0</v>
      </c>
      <c r="F46" s="87"/>
      <c r="G46" s="129">
        <v>1265</v>
      </c>
      <c r="H46" s="87"/>
      <c r="I46" s="129">
        <v>0</v>
      </c>
      <c r="J46" s="87"/>
      <c r="K46" s="129">
        <v>0</v>
      </c>
      <c r="L46" s="87"/>
      <c r="M46" s="65">
        <f>+K46-I46</f>
        <v>0</v>
      </c>
      <c r="P46" s="4"/>
    </row>
    <row r="47" spans="1:17" x14ac:dyDescent="0.25">
      <c r="B47" s="16" t="s">
        <v>103</v>
      </c>
      <c r="C47" s="82">
        <f>+C42+C43+C44+C45+C46</f>
        <v>1033702</v>
      </c>
      <c r="E47" s="83">
        <f>+E42+E43+E44+E45+E46</f>
        <v>1078431</v>
      </c>
      <c r="F47" s="86"/>
      <c r="G47" s="83">
        <f>SUM(G42:G46)</f>
        <v>3544972</v>
      </c>
      <c r="H47" s="86"/>
      <c r="I47" s="83">
        <f>SUM(I42:I46)</f>
        <v>3856670</v>
      </c>
      <c r="J47" s="86"/>
      <c r="K47" s="83">
        <f>SUM(K42:K46)</f>
        <v>3659198</v>
      </c>
      <c r="L47" s="86"/>
      <c r="M47" s="83">
        <f>SUM(M42:M46)</f>
        <v>-197472</v>
      </c>
      <c r="P47" s="4"/>
      <c r="Q47" s="3"/>
    </row>
    <row r="48" spans="1:17" x14ac:dyDescent="0.25">
      <c r="B48" s="15"/>
      <c r="C48" s="19"/>
      <c r="K48" s="88"/>
      <c r="M48" s="96"/>
    </row>
    <row r="49" spans="1:17" x14ac:dyDescent="0.25">
      <c r="B49" s="43" t="s">
        <v>104</v>
      </c>
      <c r="C49" s="119" t="e">
        <f>ROUND(C55/C$161,4)</f>
        <v>#REF!</v>
      </c>
      <c r="G49" s="120"/>
      <c r="I49" s="120"/>
      <c r="K49" s="120"/>
      <c r="M49" s="96"/>
    </row>
    <row r="50" spans="1:17" x14ac:dyDescent="0.25">
      <c r="A50" s="48">
        <v>6100</v>
      </c>
      <c r="B50" s="11" t="s">
        <v>11</v>
      </c>
      <c r="C50" s="24">
        <v>5499679</v>
      </c>
      <c r="E50" s="61">
        <v>5723917</v>
      </c>
      <c r="F50" s="86"/>
      <c r="G50" s="61">
        <v>18400435</v>
      </c>
      <c r="H50" s="86"/>
      <c r="I50" s="61">
        <v>18073882</v>
      </c>
      <c r="J50" s="86"/>
      <c r="K50" s="61">
        <v>18502955</v>
      </c>
      <c r="L50" s="86"/>
      <c r="M50" s="101">
        <f>+K50-I50</f>
        <v>429073</v>
      </c>
      <c r="N50" s="261">
        <f>SUM(M50/I50)</f>
        <v>2.3739946957715006E-2</v>
      </c>
    </row>
    <row r="51" spans="1:17" x14ac:dyDescent="0.25">
      <c r="A51" s="48">
        <v>6200</v>
      </c>
      <c r="B51" s="11" t="s">
        <v>12</v>
      </c>
      <c r="C51" s="62">
        <v>31122</v>
      </c>
      <c r="E51" s="65">
        <v>29172</v>
      </c>
      <c r="F51" s="87"/>
      <c r="G51" s="65">
        <v>106071</v>
      </c>
      <c r="H51" s="87"/>
      <c r="I51" s="65">
        <v>128252</v>
      </c>
      <c r="J51" s="87"/>
      <c r="K51" s="65">
        <v>131853</v>
      </c>
      <c r="L51" s="87"/>
      <c r="M51" s="65">
        <f>+K51-I51</f>
        <v>3601</v>
      </c>
    </row>
    <row r="52" spans="1:17" x14ac:dyDescent="0.25">
      <c r="A52" s="48">
        <v>6300</v>
      </c>
      <c r="B52" s="11" t="s">
        <v>13</v>
      </c>
      <c r="C52" s="62">
        <v>48532</v>
      </c>
      <c r="E52" s="65">
        <v>63096</v>
      </c>
      <c r="F52" s="87"/>
      <c r="G52" s="65">
        <v>140375</v>
      </c>
      <c r="H52" s="87"/>
      <c r="I52" s="65">
        <v>123783</v>
      </c>
      <c r="J52" s="87"/>
      <c r="K52" s="65">
        <v>86716</v>
      </c>
      <c r="L52" s="87"/>
      <c r="M52" s="65">
        <f>+K52-I52</f>
        <v>-37067</v>
      </c>
    </row>
    <row r="53" spans="1:17" x14ac:dyDescent="0.25">
      <c r="A53" s="48">
        <v>6400</v>
      </c>
      <c r="B53" s="11" t="s">
        <v>14</v>
      </c>
      <c r="C53" s="62">
        <v>42286</v>
      </c>
      <c r="E53" s="65">
        <v>37796</v>
      </c>
      <c r="F53" s="87"/>
      <c r="G53" s="65">
        <v>61847</v>
      </c>
      <c r="H53" s="87"/>
      <c r="I53" s="65">
        <v>86667</v>
      </c>
      <c r="J53" s="87"/>
      <c r="K53" s="65">
        <v>91695</v>
      </c>
      <c r="L53" s="87"/>
      <c r="M53" s="65">
        <f>+K53-I53</f>
        <v>5028</v>
      </c>
    </row>
    <row r="54" spans="1:17" x14ac:dyDescent="0.25">
      <c r="A54" s="48">
        <v>6600</v>
      </c>
      <c r="B54" s="11" t="s">
        <v>15</v>
      </c>
      <c r="C54" s="128">
        <v>0</v>
      </c>
      <c r="E54" s="129">
        <v>0</v>
      </c>
      <c r="F54" s="87"/>
      <c r="G54" s="129">
        <v>12310</v>
      </c>
      <c r="H54" s="87"/>
      <c r="I54" s="129">
        <v>13005</v>
      </c>
      <c r="J54" s="87"/>
      <c r="K54" s="129">
        <v>0</v>
      </c>
      <c r="L54" s="87"/>
      <c r="M54" s="65">
        <f>+K54-I54</f>
        <v>-13005</v>
      </c>
    </row>
    <row r="55" spans="1:17" x14ac:dyDescent="0.25">
      <c r="B55" s="16" t="s">
        <v>105</v>
      </c>
      <c r="C55" s="89">
        <f>+C50+C51+C52+C53+C54</f>
        <v>5621619</v>
      </c>
      <c r="E55" s="83">
        <f>+E50+E51+E52+E53+E54</f>
        <v>5853981</v>
      </c>
      <c r="F55" s="86"/>
      <c r="G55" s="83">
        <f>SUM(G50:G54)</f>
        <v>18721038</v>
      </c>
      <c r="H55" s="86"/>
      <c r="I55" s="83">
        <f>SUM(I50:I54)</f>
        <v>18425589</v>
      </c>
      <c r="J55" s="86"/>
      <c r="K55" s="83">
        <f>SUM(K50:K54)</f>
        <v>18813219</v>
      </c>
      <c r="L55" s="86"/>
      <c r="M55" s="83">
        <f>SUM(M50:M54)</f>
        <v>387630</v>
      </c>
    </row>
    <row r="56" spans="1:17" x14ac:dyDescent="0.25">
      <c r="B56" s="15"/>
      <c r="C56" s="19"/>
      <c r="K56" s="88"/>
      <c r="M56" s="96"/>
    </row>
    <row r="57" spans="1:17" x14ac:dyDescent="0.25">
      <c r="B57" s="43" t="s">
        <v>23</v>
      </c>
      <c r="C57" s="119" t="e">
        <f>ROUND(C63/C$161,4)</f>
        <v>#REF!</v>
      </c>
      <c r="G57" s="120"/>
      <c r="I57" s="120"/>
      <c r="K57" s="120"/>
      <c r="M57" s="96"/>
    </row>
    <row r="58" spans="1:17" x14ac:dyDescent="0.25">
      <c r="A58" s="48">
        <v>6100</v>
      </c>
      <c r="B58" s="11" t="s">
        <v>11</v>
      </c>
      <c r="C58" s="24">
        <v>3662832</v>
      </c>
      <c r="E58" s="61">
        <v>3723583</v>
      </c>
      <c r="F58" s="86"/>
      <c r="G58" s="61">
        <v>9018929</v>
      </c>
      <c r="H58" s="86"/>
      <c r="I58" s="61">
        <v>9169595</v>
      </c>
      <c r="J58" s="86"/>
      <c r="K58" s="61">
        <v>9289257</v>
      </c>
      <c r="L58" s="86"/>
      <c r="M58" s="101">
        <f>+K58-I58</f>
        <v>119662</v>
      </c>
      <c r="N58" s="261">
        <f>SUM(M58/I58)</f>
        <v>1.3049867524138198E-2</v>
      </c>
    </row>
    <row r="59" spans="1:17" x14ac:dyDescent="0.25">
      <c r="A59" s="48">
        <v>6200</v>
      </c>
      <c r="B59" s="11" t="s">
        <v>12</v>
      </c>
      <c r="C59" s="62">
        <v>124410</v>
      </c>
      <c r="E59" s="65">
        <v>84327</v>
      </c>
      <c r="F59" s="87"/>
      <c r="G59" s="65">
        <v>81944</v>
      </c>
      <c r="H59" s="87"/>
      <c r="I59" s="65">
        <v>92164</v>
      </c>
      <c r="J59" s="87"/>
      <c r="K59" s="65">
        <v>168729</v>
      </c>
      <c r="L59" s="87"/>
      <c r="M59" s="65">
        <f>+K59-I59</f>
        <v>76565</v>
      </c>
    </row>
    <row r="60" spans="1:17" x14ac:dyDescent="0.25">
      <c r="A60" s="48">
        <v>6300</v>
      </c>
      <c r="B60" s="11" t="s">
        <v>13</v>
      </c>
      <c r="C60" s="62">
        <v>108887</v>
      </c>
      <c r="E60" s="65">
        <v>126831</v>
      </c>
      <c r="F60" s="87"/>
      <c r="G60" s="65">
        <v>260768</v>
      </c>
      <c r="H60" s="87"/>
      <c r="I60" s="65">
        <v>273400</v>
      </c>
      <c r="J60" s="87"/>
      <c r="K60" s="65">
        <v>510114</v>
      </c>
      <c r="L60" s="87"/>
      <c r="M60" s="65">
        <f>+K60-I60</f>
        <v>236714</v>
      </c>
    </row>
    <row r="61" spans="1:17" x14ac:dyDescent="0.25">
      <c r="A61" s="48">
        <v>6400</v>
      </c>
      <c r="B61" s="11" t="s">
        <v>14</v>
      </c>
      <c r="C61" s="62">
        <v>32631</v>
      </c>
      <c r="E61" s="65">
        <v>23022</v>
      </c>
      <c r="F61" s="87"/>
      <c r="G61" s="65">
        <v>20550</v>
      </c>
      <c r="H61" s="87"/>
      <c r="I61" s="65">
        <v>33321</v>
      </c>
      <c r="J61" s="87"/>
      <c r="K61" s="65">
        <v>37760</v>
      </c>
      <c r="L61" s="87"/>
      <c r="M61" s="65">
        <f>+K61-I61</f>
        <v>4439</v>
      </c>
    </row>
    <row r="62" spans="1:17" x14ac:dyDescent="0.25">
      <c r="A62" s="48">
        <v>6600</v>
      </c>
      <c r="B62" s="11" t="s">
        <v>15</v>
      </c>
      <c r="C62" s="122">
        <v>0</v>
      </c>
      <c r="E62" s="129">
        <v>13740</v>
      </c>
      <c r="F62" s="87"/>
      <c r="G62" s="129">
        <v>0</v>
      </c>
      <c r="H62" s="87"/>
      <c r="I62" s="129">
        <v>0</v>
      </c>
      <c r="J62" s="87"/>
      <c r="K62" s="129">
        <v>0</v>
      </c>
      <c r="L62" s="87"/>
      <c r="M62" s="65">
        <f>+K62-I62</f>
        <v>0</v>
      </c>
    </row>
    <row r="63" spans="1:17" x14ac:dyDescent="0.25">
      <c r="B63" s="16" t="s">
        <v>24</v>
      </c>
      <c r="C63" s="82">
        <f>+C62+C61+C60+C59+C58</f>
        <v>3928760</v>
      </c>
      <c r="E63" s="83">
        <f>+E62+E61+E60+E59+E58</f>
        <v>3971503</v>
      </c>
      <c r="F63" s="86"/>
      <c r="G63" s="83">
        <f>SUM(G58:G62)</f>
        <v>9382191</v>
      </c>
      <c r="H63" s="86"/>
      <c r="I63" s="83">
        <f>SUM(I58:I62)</f>
        <v>9568480</v>
      </c>
      <c r="J63" s="86"/>
      <c r="K63" s="83">
        <f>SUM(K58:K62)</f>
        <v>10005860</v>
      </c>
      <c r="L63" s="86"/>
      <c r="M63" s="83">
        <f>SUM(M58:M62)</f>
        <v>437380</v>
      </c>
      <c r="P63" s="1">
        <v>9382190</v>
      </c>
      <c r="Q63" s="370">
        <f>SUM(G63-P63)</f>
        <v>1</v>
      </c>
    </row>
    <row r="64" spans="1:17" x14ac:dyDescent="0.25">
      <c r="B64" s="16"/>
      <c r="C64" s="130"/>
      <c r="E64" s="131"/>
      <c r="G64" s="131"/>
      <c r="I64" s="131"/>
      <c r="K64" s="131"/>
      <c r="M64" s="131"/>
    </row>
    <row r="65" spans="1:17" x14ac:dyDescent="0.25">
      <c r="B65" s="43" t="s">
        <v>25</v>
      </c>
      <c r="C65" s="119" t="e">
        <f>ROUND(C71/C$161,4)</f>
        <v>#REF!</v>
      </c>
      <c r="G65" s="120"/>
      <c r="I65" s="120"/>
      <c r="K65" s="120"/>
      <c r="M65" s="96"/>
    </row>
    <row r="66" spans="1:17" x14ac:dyDescent="0.25">
      <c r="A66" s="48">
        <v>6100</v>
      </c>
      <c r="B66" s="11" t="s">
        <v>11</v>
      </c>
      <c r="C66" s="24">
        <v>1035943</v>
      </c>
      <c r="E66" s="61">
        <v>1088229</v>
      </c>
      <c r="F66" s="86"/>
      <c r="G66" s="61">
        <v>4325064</v>
      </c>
      <c r="H66" s="86"/>
      <c r="I66" s="61">
        <v>4394639</v>
      </c>
      <c r="J66" s="86"/>
      <c r="K66" s="61">
        <v>4422892</v>
      </c>
      <c r="L66" s="86"/>
      <c r="M66" s="101">
        <f>+K66-I66</f>
        <v>28253</v>
      </c>
      <c r="N66" s="261">
        <f>SUM(M66/I66)</f>
        <v>6.4289694784941381E-3</v>
      </c>
    </row>
    <row r="67" spans="1:17" x14ac:dyDescent="0.25">
      <c r="A67" s="48">
        <v>6200</v>
      </c>
      <c r="B67" s="11" t="s">
        <v>12</v>
      </c>
      <c r="C67" s="62">
        <v>2526</v>
      </c>
      <c r="E67" s="65">
        <v>3020</v>
      </c>
      <c r="F67" s="87"/>
      <c r="G67" s="65">
        <v>114976</v>
      </c>
      <c r="H67" s="87"/>
      <c r="I67" s="65">
        <v>11737</v>
      </c>
      <c r="J67" s="87"/>
      <c r="K67" s="65">
        <v>10900</v>
      </c>
      <c r="L67" s="87"/>
      <c r="M67" s="65">
        <f>+K67-I67</f>
        <v>-837</v>
      </c>
    </row>
    <row r="68" spans="1:17" x14ac:dyDescent="0.25">
      <c r="A68" s="48">
        <v>6300</v>
      </c>
      <c r="B68" s="11" t="s">
        <v>13</v>
      </c>
      <c r="C68" s="62">
        <v>22468</v>
      </c>
      <c r="E68" s="65">
        <v>26082</v>
      </c>
      <c r="F68" s="87"/>
      <c r="G68" s="65">
        <v>90257</v>
      </c>
      <c r="H68" s="87"/>
      <c r="I68" s="65">
        <v>84215</v>
      </c>
      <c r="J68" s="87"/>
      <c r="K68" s="65">
        <v>79333</v>
      </c>
      <c r="L68" s="87"/>
      <c r="M68" s="65">
        <f>+K68-I68</f>
        <v>-4882</v>
      </c>
    </row>
    <row r="69" spans="1:17" x14ac:dyDescent="0.25">
      <c r="A69" s="48">
        <v>6400</v>
      </c>
      <c r="B69" s="11" t="s">
        <v>14</v>
      </c>
      <c r="C69" s="62">
        <v>3795</v>
      </c>
      <c r="E69" s="65">
        <v>3218</v>
      </c>
      <c r="F69" s="87"/>
      <c r="G69" s="65">
        <v>7035</v>
      </c>
      <c r="H69" s="87"/>
      <c r="I69" s="65">
        <v>9097</v>
      </c>
      <c r="J69" s="87"/>
      <c r="K69" s="65">
        <v>15485</v>
      </c>
      <c r="L69" s="87"/>
      <c r="M69" s="65">
        <f>+K69-I69</f>
        <v>6388</v>
      </c>
    </row>
    <row r="70" spans="1:17" x14ac:dyDescent="0.25">
      <c r="A70" s="48">
        <v>6600</v>
      </c>
      <c r="B70" s="11" t="s">
        <v>15</v>
      </c>
      <c r="C70" s="128">
        <v>0</v>
      </c>
      <c r="E70" s="129">
        <v>0</v>
      </c>
      <c r="F70" s="87"/>
      <c r="G70" s="129">
        <v>0</v>
      </c>
      <c r="H70" s="87"/>
      <c r="I70" s="129">
        <v>7001</v>
      </c>
      <c r="J70" s="87"/>
      <c r="K70" s="129">
        <v>0</v>
      </c>
      <c r="L70" s="87"/>
      <c r="M70" s="65">
        <f>+K70-I70</f>
        <v>-7001</v>
      </c>
    </row>
    <row r="71" spans="1:17" x14ac:dyDescent="0.25">
      <c r="B71" s="16" t="s">
        <v>26</v>
      </c>
      <c r="C71" s="82">
        <f>+C66+C67+C68+C69+C70</f>
        <v>1064732</v>
      </c>
      <c r="E71" s="83">
        <f>+E66+E67+E68+E69+E70</f>
        <v>1120549</v>
      </c>
      <c r="F71" s="86"/>
      <c r="G71" s="83">
        <f>SUM(G66:G70)</f>
        <v>4537332</v>
      </c>
      <c r="H71" s="86"/>
      <c r="I71" s="83">
        <f>SUM(I66:I70)</f>
        <v>4506689</v>
      </c>
      <c r="J71" s="86"/>
      <c r="K71" s="83">
        <f>SUM(K66:K70)</f>
        <v>4528610</v>
      </c>
      <c r="L71" s="86"/>
      <c r="M71" s="83">
        <f>SUM(M66:M70)</f>
        <v>21921</v>
      </c>
      <c r="P71" s="1">
        <v>4537333</v>
      </c>
      <c r="Q71" s="370">
        <f>SUM(G71-P71)</f>
        <v>-1</v>
      </c>
    </row>
    <row r="72" spans="1:17" x14ac:dyDescent="0.25">
      <c r="B72" s="15"/>
      <c r="C72" s="19"/>
      <c r="K72" s="88"/>
      <c r="M72" s="96"/>
    </row>
    <row r="73" spans="1:17" x14ac:dyDescent="0.25">
      <c r="B73" s="43" t="s">
        <v>106</v>
      </c>
      <c r="C73" s="119" t="e">
        <f>ROUND(C79/C$161,4)</f>
        <v>#REF!</v>
      </c>
      <c r="G73" s="120"/>
      <c r="I73" s="120"/>
      <c r="K73" s="120"/>
      <c r="M73" s="96"/>
    </row>
    <row r="74" spans="1:17" x14ac:dyDescent="0.25">
      <c r="A74" s="48">
        <v>6100</v>
      </c>
      <c r="B74" s="11" t="s">
        <v>11</v>
      </c>
      <c r="C74" s="24">
        <v>1357322</v>
      </c>
      <c r="E74" s="61">
        <v>1330680</v>
      </c>
      <c r="F74" s="86"/>
      <c r="G74" s="61">
        <v>7925213</v>
      </c>
      <c r="H74" s="86"/>
      <c r="I74" s="61">
        <v>8374819</v>
      </c>
      <c r="J74" s="86"/>
      <c r="K74" s="61">
        <v>9162985</v>
      </c>
      <c r="L74" s="86"/>
      <c r="M74" s="101">
        <f>+K74-I74</f>
        <v>788166</v>
      </c>
      <c r="N74" s="261">
        <f>SUM(M74/I74)</f>
        <v>9.411140706443924E-2</v>
      </c>
    </row>
    <row r="75" spans="1:17" x14ac:dyDescent="0.25">
      <c r="A75" s="48">
        <v>6200</v>
      </c>
      <c r="B75" s="11" t="s">
        <v>12</v>
      </c>
      <c r="C75" s="62">
        <v>19077</v>
      </c>
      <c r="E75" s="65">
        <v>20625</v>
      </c>
      <c r="F75" s="87"/>
      <c r="G75" s="65">
        <v>351363</v>
      </c>
      <c r="H75" s="87"/>
      <c r="I75" s="65">
        <v>409295</v>
      </c>
      <c r="J75" s="87"/>
      <c r="K75" s="65">
        <v>353427</v>
      </c>
      <c r="L75" s="87"/>
      <c r="M75" s="65">
        <f>+K75-I75</f>
        <v>-55868</v>
      </c>
    </row>
    <row r="76" spans="1:17" x14ac:dyDescent="0.25">
      <c r="A76" s="48">
        <v>6300</v>
      </c>
      <c r="B76" s="11" t="s">
        <v>13</v>
      </c>
      <c r="C76" s="62">
        <v>111882</v>
      </c>
      <c r="E76" s="65">
        <v>109867</v>
      </c>
      <c r="F76" s="87"/>
      <c r="G76" s="65">
        <v>2134037</v>
      </c>
      <c r="H76" s="87"/>
      <c r="I76" s="65">
        <v>2237421</v>
      </c>
      <c r="J76" s="87"/>
      <c r="K76" s="65">
        <v>2336051</v>
      </c>
      <c r="L76" s="87"/>
      <c r="M76" s="65">
        <f>+K76-I76</f>
        <v>98630</v>
      </c>
    </row>
    <row r="77" spans="1:17" x14ac:dyDescent="0.25">
      <c r="A77" s="48">
        <v>6400</v>
      </c>
      <c r="B77" s="11" t="s">
        <v>14</v>
      </c>
      <c r="C77" s="62">
        <v>56854</v>
      </c>
      <c r="E77" s="65">
        <v>52111</v>
      </c>
      <c r="F77" s="87"/>
      <c r="G77" s="65">
        <v>-417641</v>
      </c>
      <c r="H77" s="87"/>
      <c r="I77" s="65">
        <v>-350766</v>
      </c>
      <c r="J77" s="87"/>
      <c r="K77" s="65">
        <v>-270942</v>
      </c>
      <c r="L77" s="87"/>
      <c r="M77" s="65">
        <f>+K77-I77</f>
        <v>79824</v>
      </c>
    </row>
    <row r="78" spans="1:17" x14ac:dyDescent="0.25">
      <c r="A78" s="48">
        <v>6600</v>
      </c>
      <c r="B78" s="11" t="s">
        <v>15</v>
      </c>
      <c r="C78" s="122">
        <v>6455</v>
      </c>
      <c r="E78" s="129">
        <v>0</v>
      </c>
      <c r="F78" s="87"/>
      <c r="G78" s="129">
        <v>144560</v>
      </c>
      <c r="H78" s="87"/>
      <c r="I78" s="129">
        <v>2019140</v>
      </c>
      <c r="J78" s="87"/>
      <c r="K78" s="129">
        <v>1009170</v>
      </c>
      <c r="L78" s="87"/>
      <c r="M78" s="65">
        <f>+K78-I78</f>
        <v>-1009970</v>
      </c>
    </row>
    <row r="79" spans="1:17" x14ac:dyDescent="0.25">
      <c r="B79" s="16" t="s">
        <v>107</v>
      </c>
      <c r="C79" s="82">
        <f>+C74+C75+C76+C77+C78</f>
        <v>1551590</v>
      </c>
      <c r="E79" s="83">
        <f>+E74+E75+E76+E77+E78</f>
        <v>1513283</v>
      </c>
      <c r="F79" s="86"/>
      <c r="G79" s="83">
        <f>SUM(G74:G78)</f>
        <v>10137532</v>
      </c>
      <c r="H79" s="86"/>
      <c r="I79" s="83">
        <f>SUM(I74:I78)</f>
        <v>12689909</v>
      </c>
      <c r="J79" s="86"/>
      <c r="K79" s="83">
        <f>SUM(K74:K78)</f>
        <v>12590691</v>
      </c>
      <c r="L79" s="86"/>
      <c r="M79" s="83">
        <f>SUM(M74:M78)</f>
        <v>-99218</v>
      </c>
      <c r="P79" s="1">
        <v>10137531</v>
      </c>
      <c r="Q79" s="370">
        <f>SUM(G79-P79)</f>
        <v>1</v>
      </c>
    </row>
    <row r="80" spans="1:17" x14ac:dyDescent="0.25">
      <c r="B80" s="16"/>
      <c r="C80" s="130"/>
      <c r="E80" s="60"/>
      <c r="F80" s="86"/>
      <c r="G80" s="60"/>
      <c r="H80" s="86"/>
      <c r="I80" s="60"/>
      <c r="J80" s="86"/>
      <c r="K80" s="60"/>
      <c r="L80" s="86"/>
      <c r="M80" s="60"/>
    </row>
    <row r="81" spans="1:17" x14ac:dyDescent="0.25">
      <c r="B81" s="43" t="s">
        <v>127</v>
      </c>
      <c r="C81" s="119" t="e">
        <f>ROUND(C87/C$161,4)</f>
        <v>#REF!</v>
      </c>
      <c r="G81" s="120"/>
      <c r="I81" s="120"/>
      <c r="K81" s="120"/>
      <c r="M81" s="96"/>
    </row>
    <row r="82" spans="1:17" x14ac:dyDescent="0.25">
      <c r="A82" s="48">
        <v>6100</v>
      </c>
      <c r="B82" s="11" t="s">
        <v>11</v>
      </c>
      <c r="C82" s="24">
        <v>1357322</v>
      </c>
      <c r="E82" s="61">
        <v>1330680</v>
      </c>
      <c r="F82" s="86"/>
      <c r="G82" s="61">
        <v>4250</v>
      </c>
      <c r="H82" s="86"/>
      <c r="I82" s="61">
        <v>0</v>
      </c>
      <c r="J82" s="86"/>
      <c r="K82" s="61">
        <v>0</v>
      </c>
      <c r="L82" s="86"/>
      <c r="M82" s="101">
        <f>+K82-I82</f>
        <v>0</v>
      </c>
    </row>
    <row r="83" spans="1:17" hidden="1" x14ac:dyDescent="0.25">
      <c r="A83" s="48">
        <v>6200</v>
      </c>
      <c r="B83" s="11" t="s">
        <v>12</v>
      </c>
      <c r="C83" s="62">
        <v>19077</v>
      </c>
      <c r="E83" s="65">
        <v>20625</v>
      </c>
      <c r="F83" s="87"/>
      <c r="G83" s="65">
        <v>0</v>
      </c>
      <c r="H83" s="87"/>
      <c r="I83" s="65">
        <v>0</v>
      </c>
      <c r="J83" s="87"/>
      <c r="K83" s="65">
        <v>0</v>
      </c>
      <c r="L83" s="87"/>
      <c r="M83" s="65">
        <f>+K83-I83</f>
        <v>0</v>
      </c>
    </row>
    <row r="84" spans="1:17" hidden="1" x14ac:dyDescent="0.25">
      <c r="A84" s="48">
        <v>6300</v>
      </c>
      <c r="B84" s="11" t="s">
        <v>13</v>
      </c>
      <c r="C84" s="62">
        <v>111882</v>
      </c>
      <c r="E84" s="65">
        <v>109867</v>
      </c>
      <c r="F84" s="87"/>
      <c r="G84" s="65">
        <v>0</v>
      </c>
      <c r="H84" s="87"/>
      <c r="I84" s="65">
        <v>0</v>
      </c>
      <c r="J84" s="87"/>
      <c r="K84" s="65">
        <v>0</v>
      </c>
      <c r="L84" s="87"/>
      <c r="M84" s="65">
        <f>+K84-I84</f>
        <v>0</v>
      </c>
    </row>
    <row r="85" spans="1:17" x14ac:dyDescent="0.25">
      <c r="A85" s="48">
        <v>6400</v>
      </c>
      <c r="B85" s="11" t="s">
        <v>14</v>
      </c>
      <c r="C85" s="62">
        <v>56854</v>
      </c>
      <c r="E85" s="65">
        <v>52111</v>
      </c>
      <c r="F85" s="87"/>
      <c r="G85" s="65">
        <v>26</v>
      </c>
      <c r="H85" s="87"/>
      <c r="I85" s="65">
        <v>46000</v>
      </c>
      <c r="J85" s="87"/>
      <c r="K85" s="65">
        <v>0</v>
      </c>
      <c r="L85" s="87"/>
      <c r="M85" s="65">
        <f>+K85-I85</f>
        <v>-46000</v>
      </c>
    </row>
    <row r="86" spans="1:17" hidden="1" x14ac:dyDescent="0.25">
      <c r="A86" s="48">
        <v>6600</v>
      </c>
      <c r="B86" s="11" t="s">
        <v>15</v>
      </c>
      <c r="C86" s="122">
        <v>6455</v>
      </c>
      <c r="E86" s="129">
        <v>0</v>
      </c>
      <c r="F86" s="87"/>
      <c r="G86" s="129">
        <v>0</v>
      </c>
      <c r="H86" s="87"/>
      <c r="I86" s="129">
        <v>0</v>
      </c>
      <c r="J86" s="87"/>
      <c r="K86" s="129">
        <v>0</v>
      </c>
      <c r="L86" s="87"/>
      <c r="M86" s="65">
        <f>+K86-I86</f>
        <v>0</v>
      </c>
    </row>
    <row r="87" spans="1:17" x14ac:dyDescent="0.25">
      <c r="B87" s="16" t="s">
        <v>128</v>
      </c>
      <c r="C87" s="82">
        <f>+C82+C83+C84+C85+C86</f>
        <v>1551590</v>
      </c>
      <c r="E87" s="83">
        <f>+E82+E83+E84+E85+E86</f>
        <v>1513283</v>
      </c>
      <c r="F87" s="86"/>
      <c r="G87" s="83">
        <f>SUM(G82:G86)</f>
        <v>4276</v>
      </c>
      <c r="H87" s="86"/>
      <c r="I87" s="83">
        <f>SUM(I82:I86)</f>
        <v>46000</v>
      </c>
      <c r="J87" s="86"/>
      <c r="K87" s="83">
        <f>SUM(K82:K86)</f>
        <v>0</v>
      </c>
      <c r="L87" s="86"/>
      <c r="M87" s="83">
        <f>SUM(M82:M86)</f>
        <v>-46000</v>
      </c>
    </row>
    <row r="88" spans="1:17" x14ac:dyDescent="0.25">
      <c r="B88" s="15"/>
      <c r="C88" s="19"/>
      <c r="K88" s="88"/>
      <c r="M88" s="96"/>
    </row>
    <row r="89" spans="1:17" x14ac:dyDescent="0.25">
      <c r="B89" s="43" t="s">
        <v>110</v>
      </c>
      <c r="C89" s="119" t="e">
        <f>ROUND(C95/C$161,4)</f>
        <v>#REF!</v>
      </c>
      <c r="G89" s="120"/>
      <c r="I89" s="120"/>
      <c r="K89" s="120"/>
      <c r="M89" s="96"/>
    </row>
    <row r="90" spans="1:17" x14ac:dyDescent="0.25">
      <c r="A90" s="48">
        <v>6100</v>
      </c>
      <c r="B90" s="11" t="s">
        <v>11</v>
      </c>
      <c r="C90" s="24">
        <v>1746702</v>
      </c>
      <c r="E90" s="61">
        <v>1829687</v>
      </c>
      <c r="F90" s="86"/>
      <c r="G90" s="61">
        <v>4937609</v>
      </c>
      <c r="H90" s="86"/>
      <c r="I90" s="61">
        <v>5315484</v>
      </c>
      <c r="J90" s="86"/>
      <c r="K90" s="61">
        <v>4848014</v>
      </c>
      <c r="L90" s="86"/>
      <c r="M90" s="101">
        <f>+K90-I90</f>
        <v>-467470</v>
      </c>
      <c r="N90" s="261">
        <f>SUM(M90/I90)</f>
        <v>-8.7944954777401274E-2</v>
      </c>
    </row>
    <row r="91" spans="1:17" x14ac:dyDescent="0.25">
      <c r="A91" s="48">
        <v>6200</v>
      </c>
      <c r="B91" s="11" t="s">
        <v>12</v>
      </c>
      <c r="C91" s="62">
        <v>170406</v>
      </c>
      <c r="E91" s="65">
        <v>237007</v>
      </c>
      <c r="F91" s="87"/>
      <c r="G91" s="65">
        <v>1537792</v>
      </c>
      <c r="H91" s="87"/>
      <c r="I91" s="65">
        <v>1557415</v>
      </c>
      <c r="J91" s="87"/>
      <c r="K91" s="65">
        <v>1590286</v>
      </c>
      <c r="L91" s="87"/>
      <c r="M91" s="65">
        <f>+K91-I91</f>
        <v>32871</v>
      </c>
    </row>
    <row r="92" spans="1:17" x14ac:dyDescent="0.25">
      <c r="A92" s="48">
        <v>6300</v>
      </c>
      <c r="B92" s="11" t="s">
        <v>13</v>
      </c>
      <c r="C92" s="62">
        <v>331134</v>
      </c>
      <c r="E92" s="65">
        <v>311072</v>
      </c>
      <c r="F92" s="87"/>
      <c r="G92" s="65">
        <v>1053742</v>
      </c>
      <c r="H92" s="87"/>
      <c r="I92" s="65">
        <v>1227683</v>
      </c>
      <c r="J92" s="87"/>
      <c r="K92" s="65">
        <v>1137894</v>
      </c>
      <c r="L92" s="87"/>
      <c r="M92" s="65">
        <f>+K92-I92</f>
        <v>-89789</v>
      </c>
    </row>
    <row r="93" spans="1:17" x14ac:dyDescent="0.25">
      <c r="A93" s="48">
        <v>6400</v>
      </c>
      <c r="B93" s="11" t="s">
        <v>14</v>
      </c>
      <c r="C93" s="62">
        <v>466745</v>
      </c>
      <c r="E93" s="65">
        <v>442475</v>
      </c>
      <c r="F93" s="87"/>
      <c r="G93" s="65">
        <v>1339846</v>
      </c>
      <c r="H93" s="87"/>
      <c r="I93" s="65">
        <v>1509475</v>
      </c>
      <c r="J93" s="87"/>
      <c r="K93" s="65">
        <v>1342411</v>
      </c>
      <c r="L93" s="87"/>
      <c r="M93" s="65">
        <f>+K93-I93</f>
        <v>-167064</v>
      </c>
    </row>
    <row r="94" spans="1:17" x14ac:dyDescent="0.25">
      <c r="A94" s="48">
        <v>6600</v>
      </c>
      <c r="B94" s="11" t="s">
        <v>15</v>
      </c>
      <c r="C94" s="122">
        <v>229021</v>
      </c>
      <c r="E94" s="129">
        <v>389379</v>
      </c>
      <c r="F94" s="87"/>
      <c r="G94" s="129">
        <v>676038</v>
      </c>
      <c r="H94" s="87"/>
      <c r="I94" s="129">
        <v>209795</v>
      </c>
      <c r="J94" s="87"/>
      <c r="K94" s="129">
        <v>0</v>
      </c>
      <c r="L94" s="87"/>
      <c r="M94" s="65">
        <f>+K94-I94</f>
        <v>-209795</v>
      </c>
    </row>
    <row r="95" spans="1:17" x14ac:dyDescent="0.25">
      <c r="B95" s="16" t="s">
        <v>111</v>
      </c>
      <c r="C95" s="82">
        <f>+C94+C93+C92+C91+C90</f>
        <v>2944008</v>
      </c>
      <c r="E95" s="83">
        <f>+E94+E93+E92+E91+E90</f>
        <v>3209620</v>
      </c>
      <c r="F95" s="86"/>
      <c r="G95" s="83">
        <f>SUM(G90:G94)</f>
        <v>9545027</v>
      </c>
      <c r="H95" s="86"/>
      <c r="I95" s="83">
        <f>SUM(I90:I94)</f>
        <v>9819852</v>
      </c>
      <c r="J95" s="86"/>
      <c r="K95" s="83">
        <f>SUM(K90:K94)</f>
        <v>8918605</v>
      </c>
      <c r="L95" s="86"/>
      <c r="M95" s="83">
        <f>SUM(M90:M94)</f>
        <v>-901247</v>
      </c>
      <c r="P95" s="1">
        <v>9676715</v>
      </c>
      <c r="Q95" s="370">
        <f>SUM(G95-P95)</f>
        <v>-131688</v>
      </c>
    </row>
    <row r="96" spans="1:17" x14ac:dyDescent="0.25">
      <c r="B96" s="15"/>
      <c r="C96" s="19"/>
      <c r="K96" s="88"/>
      <c r="M96" s="96"/>
    </row>
    <row r="97" spans="1:17" x14ac:dyDescent="0.25">
      <c r="B97" s="43" t="s">
        <v>27</v>
      </c>
      <c r="C97" s="119" t="e">
        <f>ROUND(C103/C$161,4)</f>
        <v>#REF!</v>
      </c>
      <c r="G97" s="120"/>
      <c r="I97" s="120"/>
      <c r="K97" s="120"/>
      <c r="M97" s="96"/>
    </row>
    <row r="98" spans="1:17" x14ac:dyDescent="0.25">
      <c r="A98" s="48">
        <v>6100</v>
      </c>
      <c r="B98" s="11" t="s">
        <v>11</v>
      </c>
      <c r="C98" s="24">
        <v>2244354</v>
      </c>
      <c r="E98" s="61">
        <v>2381338</v>
      </c>
      <c r="F98" s="86"/>
      <c r="G98" s="61">
        <v>4705879</v>
      </c>
      <c r="H98" s="86"/>
      <c r="I98" s="61">
        <v>4392351</v>
      </c>
      <c r="J98" s="86"/>
      <c r="K98" s="61">
        <v>4928670</v>
      </c>
      <c r="L98" s="86"/>
      <c r="M98" s="101">
        <f>+K98-I98</f>
        <v>536319</v>
      </c>
      <c r="N98" s="261">
        <f>SUM(M98/I98)</f>
        <v>0.12210294669073578</v>
      </c>
    </row>
    <row r="99" spans="1:17" x14ac:dyDescent="0.25">
      <c r="A99" s="48">
        <v>6200</v>
      </c>
      <c r="B99" s="11" t="s">
        <v>12</v>
      </c>
      <c r="C99" s="62">
        <v>1105770</v>
      </c>
      <c r="E99" s="65">
        <v>387954</v>
      </c>
      <c r="F99" s="87"/>
      <c r="G99" s="65">
        <v>1533676</v>
      </c>
      <c r="H99" s="87"/>
      <c r="I99" s="65">
        <v>1880137</v>
      </c>
      <c r="J99" s="87"/>
      <c r="K99" s="65">
        <v>1676684</v>
      </c>
      <c r="L99" s="87"/>
      <c r="M99" s="65">
        <f>+K99-I99</f>
        <v>-203453</v>
      </c>
    </row>
    <row r="100" spans="1:17" x14ac:dyDescent="0.25">
      <c r="A100" s="48">
        <v>6300</v>
      </c>
      <c r="B100" s="11" t="s">
        <v>13</v>
      </c>
      <c r="C100" s="62">
        <v>107224</v>
      </c>
      <c r="E100" s="65">
        <v>100930</v>
      </c>
      <c r="F100" s="87"/>
      <c r="G100" s="65">
        <v>115842</v>
      </c>
      <c r="H100" s="87"/>
      <c r="I100" s="65">
        <v>118462</v>
      </c>
      <c r="J100" s="87"/>
      <c r="K100" s="65">
        <v>94233</v>
      </c>
      <c r="L100" s="87"/>
      <c r="M100" s="65">
        <f>+K100-I100</f>
        <v>-24229</v>
      </c>
    </row>
    <row r="101" spans="1:17" x14ac:dyDescent="0.25">
      <c r="A101" s="48">
        <v>6400</v>
      </c>
      <c r="B101" s="11" t="s">
        <v>14</v>
      </c>
      <c r="C101" s="62">
        <v>152257</v>
      </c>
      <c r="E101" s="65">
        <v>129004</v>
      </c>
      <c r="F101" s="87"/>
      <c r="G101" s="65">
        <v>509492</v>
      </c>
      <c r="H101" s="87"/>
      <c r="I101" s="65">
        <v>566105</v>
      </c>
      <c r="J101" s="87"/>
      <c r="K101" s="65">
        <v>756607</v>
      </c>
      <c r="L101" s="87"/>
      <c r="M101" s="65">
        <f>+K101-I101</f>
        <v>190502</v>
      </c>
    </row>
    <row r="102" spans="1:17" x14ac:dyDescent="0.25">
      <c r="A102" s="48">
        <v>6600</v>
      </c>
      <c r="B102" s="11" t="s">
        <v>15</v>
      </c>
      <c r="C102" s="122">
        <v>135</v>
      </c>
      <c r="E102" s="129">
        <v>5714</v>
      </c>
      <c r="F102" s="87"/>
      <c r="G102" s="129">
        <v>0</v>
      </c>
      <c r="H102" s="87"/>
      <c r="I102" s="129">
        <v>0</v>
      </c>
      <c r="J102" s="87"/>
      <c r="K102" s="129">
        <v>0</v>
      </c>
      <c r="L102" s="87"/>
      <c r="M102" s="65">
        <f>+K102-I102</f>
        <v>0</v>
      </c>
    </row>
    <row r="103" spans="1:17" x14ac:dyDescent="0.25">
      <c r="B103" s="16" t="s">
        <v>28</v>
      </c>
      <c r="C103" s="82">
        <f>+C102+C101+C100+C99+C98</f>
        <v>3609740</v>
      </c>
      <c r="E103" s="83">
        <f>+E102+E101+E100+E99+E98</f>
        <v>3004940</v>
      </c>
      <c r="F103" s="86"/>
      <c r="G103" s="83">
        <f>SUM(G98:G102)</f>
        <v>6864889</v>
      </c>
      <c r="H103" s="86"/>
      <c r="I103" s="83">
        <f>SUM(I98:I102)</f>
        <v>6957055</v>
      </c>
      <c r="J103" s="86"/>
      <c r="K103" s="83">
        <f>SUM(K98:K102)</f>
        <v>7456194</v>
      </c>
      <c r="L103" s="86"/>
      <c r="M103" s="83">
        <f>SUM(M98:M102)</f>
        <v>499139</v>
      </c>
      <c r="P103" s="1">
        <v>6733201</v>
      </c>
      <c r="Q103" s="370">
        <f>SUM(G103-P103)</f>
        <v>131688</v>
      </c>
    </row>
    <row r="104" spans="1:17" x14ac:dyDescent="0.25">
      <c r="B104" s="16"/>
      <c r="C104" s="130"/>
      <c r="E104" s="60"/>
      <c r="F104" s="86"/>
      <c r="G104" s="60"/>
      <c r="H104" s="86"/>
      <c r="I104" s="60"/>
      <c r="J104" s="86"/>
      <c r="K104" s="60"/>
      <c r="L104" s="86"/>
      <c r="M104" s="60"/>
    </row>
    <row r="105" spans="1:17" x14ac:dyDescent="0.25">
      <c r="B105" s="16"/>
      <c r="C105" s="130"/>
      <c r="E105" s="60"/>
      <c r="F105" s="86"/>
      <c r="G105" s="60"/>
      <c r="H105" s="86"/>
      <c r="I105" s="60"/>
      <c r="J105" s="86"/>
      <c r="K105" s="60"/>
      <c r="L105" s="86"/>
      <c r="M105" s="60"/>
    </row>
    <row r="106" spans="1:17" x14ac:dyDescent="0.25">
      <c r="B106" s="15"/>
      <c r="C106" s="19"/>
      <c r="K106" s="88"/>
      <c r="M106" s="96"/>
    </row>
    <row r="107" spans="1:17" x14ac:dyDescent="0.25">
      <c r="B107" s="43" t="s">
        <v>112</v>
      </c>
      <c r="C107" s="119" t="e">
        <f>ROUND(C113/C$161,4)</f>
        <v>#REF!</v>
      </c>
      <c r="G107" s="120"/>
      <c r="I107" s="120"/>
      <c r="K107" s="120"/>
      <c r="M107" s="96"/>
    </row>
    <row r="108" spans="1:17" x14ac:dyDescent="0.25">
      <c r="A108" s="48">
        <v>6100</v>
      </c>
      <c r="B108" s="11" t="s">
        <v>11</v>
      </c>
      <c r="C108" s="24">
        <f>1+5224282</f>
        <v>5224283</v>
      </c>
      <c r="E108" s="61">
        <v>5552553</v>
      </c>
      <c r="F108" s="86"/>
      <c r="G108" s="61">
        <f>15124784+1889</f>
        <v>15126673</v>
      </c>
      <c r="H108" s="86"/>
      <c r="I108" s="61">
        <v>15565112</v>
      </c>
      <c r="J108" s="86"/>
      <c r="K108" s="61">
        <v>16267593</v>
      </c>
      <c r="L108" s="86"/>
      <c r="M108" s="101">
        <f>+K108-I108</f>
        <v>702481</v>
      </c>
      <c r="N108" s="261">
        <f>SUM(M108/I108)</f>
        <v>4.5131766478776383E-2</v>
      </c>
    </row>
    <row r="109" spans="1:17" x14ac:dyDescent="0.25">
      <c r="A109" s="48">
        <v>6200</v>
      </c>
      <c r="B109" s="11" t="s">
        <v>12</v>
      </c>
      <c r="C109" s="62">
        <v>6539510</v>
      </c>
      <c r="E109" s="65">
        <v>6177415</v>
      </c>
      <c r="F109" s="87"/>
      <c r="G109" s="65">
        <v>9890140</v>
      </c>
      <c r="H109" s="87"/>
      <c r="I109" s="65">
        <v>11116593</v>
      </c>
      <c r="J109" s="87"/>
      <c r="K109" s="65">
        <v>12475641</v>
      </c>
      <c r="L109" s="87"/>
      <c r="M109" s="65">
        <f>+K109-I109</f>
        <v>1359048</v>
      </c>
    </row>
    <row r="110" spans="1:17" x14ac:dyDescent="0.25">
      <c r="A110" s="48">
        <v>6300</v>
      </c>
      <c r="B110" s="11" t="s">
        <v>13</v>
      </c>
      <c r="C110" s="62">
        <v>797171</v>
      </c>
      <c r="E110" s="65">
        <v>709269</v>
      </c>
      <c r="F110" s="87"/>
      <c r="G110" s="65">
        <v>2444865</v>
      </c>
      <c r="H110" s="87"/>
      <c r="I110" s="65">
        <v>2363232</v>
      </c>
      <c r="J110" s="87"/>
      <c r="K110" s="65">
        <v>2253986</v>
      </c>
      <c r="L110" s="87"/>
      <c r="M110" s="65">
        <f>+K110-I110</f>
        <v>-109246</v>
      </c>
    </row>
    <row r="111" spans="1:17" x14ac:dyDescent="0.25">
      <c r="A111" s="48">
        <v>6400</v>
      </c>
      <c r="B111" s="11" t="s">
        <v>14</v>
      </c>
      <c r="C111" s="62">
        <v>280919</v>
      </c>
      <c r="E111" s="65">
        <v>278564</v>
      </c>
      <c r="F111" s="87"/>
      <c r="G111" s="65">
        <v>786746</v>
      </c>
      <c r="H111" s="87"/>
      <c r="I111" s="65">
        <v>1027482</v>
      </c>
      <c r="J111" s="87"/>
      <c r="K111" s="65">
        <v>1171662</v>
      </c>
      <c r="L111" s="87"/>
      <c r="M111" s="65">
        <f>+K111-I111</f>
        <v>144180</v>
      </c>
    </row>
    <row r="112" spans="1:17" x14ac:dyDescent="0.25">
      <c r="A112" s="48">
        <v>6600</v>
      </c>
      <c r="B112" s="11" t="s">
        <v>15</v>
      </c>
      <c r="C112" s="122">
        <v>108606</v>
      </c>
      <c r="E112" s="129">
        <v>29722</v>
      </c>
      <c r="F112" s="87"/>
      <c r="G112" s="129">
        <v>971711</v>
      </c>
      <c r="H112" s="87"/>
      <c r="I112" s="129">
        <v>988254</v>
      </c>
      <c r="J112" s="87"/>
      <c r="K112" s="129">
        <v>209768</v>
      </c>
      <c r="L112" s="87"/>
      <c r="M112" s="65">
        <f>+K112-I112</f>
        <v>-778486</v>
      </c>
    </row>
    <row r="113" spans="1:17" x14ac:dyDescent="0.25">
      <c r="B113" s="16" t="s">
        <v>113</v>
      </c>
      <c r="C113" s="82">
        <f>+C112+C111+C110+C109+C108</f>
        <v>12950489</v>
      </c>
      <c r="E113" s="83">
        <f>+E112+E111+E110+E109+E108</f>
        <v>12747523</v>
      </c>
      <c r="F113" s="86"/>
      <c r="G113" s="83">
        <f>SUM(G108:G112)</f>
        <v>29220135</v>
      </c>
      <c r="H113" s="86"/>
      <c r="I113" s="83">
        <f>SUM(I108:I112)</f>
        <v>31060673</v>
      </c>
      <c r="J113" s="86"/>
      <c r="K113" s="83">
        <f>SUM(K108:K112)</f>
        <v>32378650</v>
      </c>
      <c r="L113" s="86"/>
      <c r="M113" s="83">
        <f>SUM(M108:M112)</f>
        <v>1317977</v>
      </c>
      <c r="P113" s="1">
        <v>29220135</v>
      </c>
      <c r="Q113" s="370">
        <f>SUM(G113-P113)</f>
        <v>0</v>
      </c>
    </row>
    <row r="114" spans="1:17" x14ac:dyDescent="0.25">
      <c r="B114" s="15"/>
      <c r="C114" s="19"/>
      <c r="K114" s="88"/>
      <c r="M114" s="96"/>
    </row>
    <row r="115" spans="1:17" x14ac:dyDescent="0.25">
      <c r="B115" s="43" t="s">
        <v>114</v>
      </c>
      <c r="C115" s="119" t="e">
        <f>ROUND(C121/C$161,4)</f>
        <v>#REF!</v>
      </c>
      <c r="G115" s="120"/>
      <c r="I115" s="120"/>
      <c r="K115" s="120"/>
      <c r="M115" s="96"/>
    </row>
    <row r="116" spans="1:17" x14ac:dyDescent="0.25">
      <c r="A116" s="48">
        <v>6100</v>
      </c>
      <c r="B116" s="11" t="s">
        <v>11</v>
      </c>
      <c r="C116" s="24">
        <v>52245</v>
      </c>
      <c r="E116" s="61">
        <v>47864</v>
      </c>
      <c r="F116" s="86"/>
      <c r="G116" s="61">
        <v>3977832</v>
      </c>
      <c r="H116" s="86"/>
      <c r="I116" s="61">
        <v>3687290</v>
      </c>
      <c r="J116" s="86"/>
      <c r="K116" s="61">
        <v>4788977</v>
      </c>
      <c r="L116" s="86"/>
      <c r="M116" s="101">
        <f>+K116-I116</f>
        <v>1101687</v>
      </c>
      <c r="N116" s="261">
        <f>SUM(M116/I116)</f>
        <v>0.2987795915157202</v>
      </c>
    </row>
    <row r="117" spans="1:17" x14ac:dyDescent="0.25">
      <c r="A117" s="48">
        <v>6200</v>
      </c>
      <c r="B117" s="11" t="s">
        <v>12</v>
      </c>
      <c r="C117" s="121">
        <v>217185</v>
      </c>
      <c r="E117" s="64">
        <v>201140</v>
      </c>
      <c r="F117" s="87"/>
      <c r="G117" s="64">
        <v>345432</v>
      </c>
      <c r="H117" s="87"/>
      <c r="I117" s="64">
        <v>2426888</v>
      </c>
      <c r="J117" s="87"/>
      <c r="K117" s="64">
        <v>1309165</v>
      </c>
      <c r="L117" s="87"/>
      <c r="M117" s="65">
        <f>+K117-I117</f>
        <v>-1117723</v>
      </c>
    </row>
    <row r="118" spans="1:17" x14ac:dyDescent="0.25">
      <c r="A118" s="48">
        <v>6300</v>
      </c>
      <c r="B118" s="11" t="s">
        <v>13</v>
      </c>
      <c r="C118" s="122">
        <v>4657</v>
      </c>
      <c r="E118" s="129">
        <v>5964</v>
      </c>
      <c r="F118" s="87"/>
      <c r="G118" s="129">
        <v>142901</v>
      </c>
      <c r="H118" s="87"/>
      <c r="I118" s="129">
        <v>537421</v>
      </c>
      <c r="J118" s="87"/>
      <c r="K118" s="129">
        <v>290640</v>
      </c>
      <c r="L118" s="87"/>
      <c r="M118" s="65">
        <f>+K118-I118</f>
        <v>-246781</v>
      </c>
    </row>
    <row r="119" spans="1:17" x14ac:dyDescent="0.25">
      <c r="A119" s="48">
        <v>6400</v>
      </c>
      <c r="B119" s="11" t="s">
        <v>14</v>
      </c>
      <c r="C119" s="128">
        <v>0</v>
      </c>
      <c r="E119" s="129">
        <v>0</v>
      </c>
      <c r="F119" s="87"/>
      <c r="G119" s="129">
        <v>53197</v>
      </c>
      <c r="H119" s="87"/>
      <c r="I119" s="129">
        <v>57450</v>
      </c>
      <c r="J119" s="87"/>
      <c r="K119" s="129">
        <v>80960</v>
      </c>
      <c r="L119" s="87"/>
      <c r="M119" s="65">
        <f>+K119-I119</f>
        <v>23510</v>
      </c>
    </row>
    <row r="120" spans="1:17" x14ac:dyDescent="0.25">
      <c r="A120" s="48">
        <v>6600</v>
      </c>
      <c r="B120" s="11" t="s">
        <v>15</v>
      </c>
      <c r="C120" s="122">
        <v>79243</v>
      </c>
      <c r="E120" s="129">
        <v>0</v>
      </c>
      <c r="F120" s="87"/>
      <c r="G120" s="129">
        <v>10136</v>
      </c>
      <c r="H120" s="87"/>
      <c r="I120" s="129">
        <v>382991</v>
      </c>
      <c r="J120" s="87"/>
      <c r="K120" s="129">
        <v>24624</v>
      </c>
      <c r="L120" s="87"/>
      <c r="M120" s="65">
        <f>+K120-I120</f>
        <v>-358367</v>
      </c>
    </row>
    <row r="121" spans="1:17" x14ac:dyDescent="0.25">
      <c r="B121" s="16" t="s">
        <v>115</v>
      </c>
      <c r="C121" s="82">
        <f>+C116+C117+C118+C119+C120</f>
        <v>353330</v>
      </c>
      <c r="E121" s="83">
        <f>+E116+E117+E118+E119+E120</f>
        <v>254968</v>
      </c>
      <c r="F121" s="86"/>
      <c r="G121" s="83">
        <f>SUM(G116:G120)</f>
        <v>4529498</v>
      </c>
      <c r="H121" s="86"/>
      <c r="I121" s="83">
        <f>SUM(I116:I120)</f>
        <v>7092040</v>
      </c>
      <c r="J121" s="86"/>
      <c r="K121" s="83">
        <f>SUM(K116:K120)</f>
        <v>6494366</v>
      </c>
      <c r="L121" s="86"/>
      <c r="M121" s="83">
        <f>SUM(M116:M120)</f>
        <v>-597674</v>
      </c>
    </row>
    <row r="122" spans="1:17" x14ac:dyDescent="0.25">
      <c r="B122" s="15"/>
      <c r="C122" s="19"/>
      <c r="K122" s="88"/>
      <c r="M122" s="96"/>
    </row>
    <row r="123" spans="1:17" x14ac:dyDescent="0.25">
      <c r="B123" s="43" t="s">
        <v>29</v>
      </c>
      <c r="C123" s="119" t="e">
        <f>ROUND(C129/C$161,4)</f>
        <v>#REF!</v>
      </c>
      <c r="G123" s="120"/>
      <c r="I123" s="120"/>
      <c r="K123" s="120"/>
      <c r="M123" s="96"/>
    </row>
    <row r="124" spans="1:17" x14ac:dyDescent="0.25">
      <c r="A124" s="48">
        <v>6100</v>
      </c>
      <c r="B124" s="11" t="s">
        <v>11</v>
      </c>
      <c r="C124" s="24">
        <v>582305</v>
      </c>
      <c r="E124" s="61">
        <v>551557</v>
      </c>
      <c r="F124" s="86"/>
      <c r="G124" s="61">
        <v>2286755</v>
      </c>
      <c r="H124" s="86"/>
      <c r="I124" s="61">
        <v>2378668</v>
      </c>
      <c r="J124" s="86">
        <v>2661547</v>
      </c>
      <c r="K124" s="61">
        <v>2661547</v>
      </c>
      <c r="L124" s="86"/>
      <c r="M124" s="101">
        <f>+K124-I124</f>
        <v>282879</v>
      </c>
      <c r="N124" s="261">
        <f>SUM(M124/I124)</f>
        <v>0.11892327975152481</v>
      </c>
    </row>
    <row r="125" spans="1:17" x14ac:dyDescent="0.25">
      <c r="A125" s="48">
        <v>6200</v>
      </c>
      <c r="B125" s="11" t="s">
        <v>12</v>
      </c>
      <c r="C125" s="121">
        <v>357674</v>
      </c>
      <c r="E125" s="64">
        <v>758101</v>
      </c>
      <c r="F125" s="87"/>
      <c r="G125" s="64">
        <v>1254995</v>
      </c>
      <c r="H125" s="87"/>
      <c r="I125" s="64">
        <v>1269680</v>
      </c>
      <c r="J125" s="87"/>
      <c r="K125" s="64">
        <v>1685377</v>
      </c>
      <c r="L125" s="87"/>
      <c r="M125" s="65">
        <f>+K125-I125</f>
        <v>415697</v>
      </c>
    </row>
    <row r="126" spans="1:17" x14ac:dyDescent="0.25">
      <c r="A126" s="48">
        <v>6300</v>
      </c>
      <c r="B126" s="11" t="s">
        <v>13</v>
      </c>
      <c r="C126" s="132">
        <v>18325</v>
      </c>
      <c r="E126" s="64">
        <v>32071</v>
      </c>
      <c r="F126" s="87"/>
      <c r="G126" s="64">
        <v>616050</v>
      </c>
      <c r="H126" s="87"/>
      <c r="I126" s="64">
        <v>846696</v>
      </c>
      <c r="J126" s="87"/>
      <c r="K126" s="64">
        <v>528377</v>
      </c>
      <c r="L126" s="87"/>
      <c r="M126" s="65">
        <f>+K126-I126</f>
        <v>-318319</v>
      </c>
    </row>
    <row r="127" spans="1:17" x14ac:dyDescent="0.25">
      <c r="A127" s="48">
        <v>6400</v>
      </c>
      <c r="B127" s="11" t="s">
        <v>14</v>
      </c>
      <c r="C127" s="132">
        <v>10036</v>
      </c>
      <c r="E127" s="64">
        <v>6085</v>
      </c>
      <c r="F127" s="87"/>
      <c r="G127" s="64">
        <v>18416</v>
      </c>
      <c r="H127" s="87"/>
      <c r="I127" s="64">
        <v>25529</v>
      </c>
      <c r="J127" s="87"/>
      <c r="K127" s="64">
        <v>56925</v>
      </c>
      <c r="L127" s="87"/>
      <c r="M127" s="65">
        <f>+K127-I127</f>
        <v>31396</v>
      </c>
    </row>
    <row r="128" spans="1:17" x14ac:dyDescent="0.25">
      <c r="A128" s="48">
        <v>6600</v>
      </c>
      <c r="B128" s="11" t="s">
        <v>15</v>
      </c>
      <c r="C128" s="122">
        <v>0</v>
      </c>
      <c r="E128" s="129">
        <v>0</v>
      </c>
      <c r="F128" s="87"/>
      <c r="G128" s="129">
        <v>28292</v>
      </c>
      <c r="H128" s="87"/>
      <c r="I128" s="129">
        <v>112121</v>
      </c>
      <c r="J128" s="87"/>
      <c r="K128" s="129">
        <v>0</v>
      </c>
      <c r="L128" s="87"/>
      <c r="M128" s="129">
        <f>+K128-I128</f>
        <v>-112121</v>
      </c>
    </row>
    <row r="129" spans="1:14" x14ac:dyDescent="0.25">
      <c r="B129" s="16" t="s">
        <v>30</v>
      </c>
      <c r="C129" s="82">
        <f>+C128+C127+C126+C125+C124</f>
        <v>968340</v>
      </c>
      <c r="E129" s="83">
        <f>+E128+E127+E126+E125+E124</f>
        <v>1347814</v>
      </c>
      <c r="F129" s="86"/>
      <c r="G129" s="83">
        <f>SUM(G124:G128)</f>
        <v>4204508</v>
      </c>
      <c r="H129" s="86"/>
      <c r="I129" s="83">
        <f>SUM(I124:I128)</f>
        <v>4632694</v>
      </c>
      <c r="J129" s="86"/>
      <c r="K129" s="83">
        <f>SUM(K124:K128)</f>
        <v>4932226</v>
      </c>
      <c r="L129" s="86"/>
      <c r="M129" s="83">
        <f>SUM(M124:M128)</f>
        <v>299532</v>
      </c>
    </row>
    <row r="130" spans="1:14" x14ac:dyDescent="0.25">
      <c r="B130" s="15"/>
      <c r="C130" s="19"/>
      <c r="K130" s="88"/>
      <c r="M130" s="96"/>
    </row>
    <row r="131" spans="1:14" x14ac:dyDescent="0.25">
      <c r="B131" s="43" t="s">
        <v>31</v>
      </c>
      <c r="C131" s="119" t="e">
        <f>ROUND(C137/C$161,4)</f>
        <v>#REF!</v>
      </c>
      <c r="G131" s="120"/>
      <c r="I131" s="120"/>
      <c r="K131" s="120"/>
      <c r="M131" s="52"/>
    </row>
    <row r="132" spans="1:14" x14ac:dyDescent="0.25">
      <c r="A132" s="48">
        <v>6100</v>
      </c>
      <c r="B132" s="11" t="s">
        <v>11</v>
      </c>
      <c r="C132" s="24">
        <v>1237140</v>
      </c>
      <c r="E132" s="61">
        <v>1390533</v>
      </c>
      <c r="F132" s="86"/>
      <c r="G132" s="61">
        <v>172320</v>
      </c>
      <c r="H132" s="86"/>
      <c r="I132" s="61">
        <v>270924</v>
      </c>
      <c r="J132" s="86"/>
      <c r="K132" s="61">
        <v>149467</v>
      </c>
      <c r="L132" s="86"/>
      <c r="M132" s="101">
        <f>+K132-I132</f>
        <v>-121457</v>
      </c>
      <c r="N132" s="261">
        <f>SUM(M132/I132)</f>
        <v>-0.44830653615035954</v>
      </c>
    </row>
    <row r="133" spans="1:14" x14ac:dyDescent="0.25">
      <c r="A133" s="48">
        <v>6200</v>
      </c>
      <c r="B133" s="11" t="s">
        <v>12</v>
      </c>
      <c r="C133" s="121">
        <v>9569</v>
      </c>
      <c r="E133" s="64">
        <v>23047</v>
      </c>
      <c r="F133" s="87"/>
      <c r="G133" s="64">
        <v>34693</v>
      </c>
      <c r="H133" s="87"/>
      <c r="I133" s="64">
        <v>68907</v>
      </c>
      <c r="J133" s="87"/>
      <c r="K133" s="64">
        <v>35325</v>
      </c>
      <c r="L133" s="87"/>
      <c r="M133" s="65">
        <f>+K133-I133</f>
        <v>-33582</v>
      </c>
    </row>
    <row r="134" spans="1:14" x14ac:dyDescent="0.25">
      <c r="A134" s="48">
        <v>6300</v>
      </c>
      <c r="B134" s="11" t="s">
        <v>13</v>
      </c>
      <c r="C134" s="121">
        <v>162658</v>
      </c>
      <c r="E134" s="64">
        <v>180894</v>
      </c>
      <c r="F134" s="87"/>
      <c r="G134" s="64">
        <v>88196</v>
      </c>
      <c r="H134" s="87"/>
      <c r="I134" s="64">
        <v>89069</v>
      </c>
      <c r="J134" s="87"/>
      <c r="K134" s="64">
        <v>95204</v>
      </c>
      <c r="L134" s="87"/>
      <c r="M134" s="65">
        <f>+K134-I134</f>
        <v>6135</v>
      </c>
    </row>
    <row r="135" spans="1:14" x14ac:dyDescent="0.25">
      <c r="A135" s="48">
        <v>6400</v>
      </c>
      <c r="B135" s="11" t="s">
        <v>14</v>
      </c>
      <c r="C135" s="121">
        <v>27752</v>
      </c>
      <c r="E135" s="64">
        <v>32905</v>
      </c>
      <c r="F135" s="87"/>
      <c r="G135" s="64">
        <v>31367</v>
      </c>
      <c r="H135" s="87"/>
      <c r="I135" s="64">
        <v>56182</v>
      </c>
      <c r="J135" s="87"/>
      <c r="K135" s="64">
        <v>48876</v>
      </c>
      <c r="L135" s="87"/>
      <c r="M135" s="65">
        <f>+K135-I135</f>
        <v>-7306</v>
      </c>
    </row>
    <row r="136" spans="1:14" x14ac:dyDescent="0.25">
      <c r="A136" s="48">
        <v>6600</v>
      </c>
      <c r="B136" s="11" t="s">
        <v>15</v>
      </c>
      <c r="C136" s="128">
        <v>0</v>
      </c>
      <c r="E136" s="129">
        <v>0</v>
      </c>
      <c r="F136" s="87"/>
      <c r="G136" s="129">
        <v>0</v>
      </c>
      <c r="H136" s="87"/>
      <c r="I136" s="129">
        <v>0</v>
      </c>
      <c r="J136" s="87"/>
      <c r="K136" s="129">
        <v>0</v>
      </c>
      <c r="L136" s="87"/>
      <c r="M136" s="129">
        <f>+K136-I136</f>
        <v>0</v>
      </c>
    </row>
    <row r="137" spans="1:14" x14ac:dyDescent="0.25">
      <c r="B137" s="16" t="s">
        <v>32</v>
      </c>
      <c r="C137" s="82">
        <f>+C132+C133+C134+C135+C136</f>
        <v>1437119</v>
      </c>
      <c r="E137" s="83">
        <f>+E132+E133+E134+E135+E136</f>
        <v>1627379</v>
      </c>
      <c r="F137" s="86"/>
      <c r="G137" s="83">
        <f>SUM(G132:G136)</f>
        <v>326576</v>
      </c>
      <c r="H137" s="86"/>
      <c r="I137" s="83">
        <f>SUM(I132:I136)</f>
        <v>485082</v>
      </c>
      <c r="J137" s="86"/>
      <c r="K137" s="83">
        <f>SUM(K132:K136)</f>
        <v>328872</v>
      </c>
      <c r="L137" s="86"/>
      <c r="M137" s="83">
        <f>SUM(M132:M136)</f>
        <v>-156210</v>
      </c>
    </row>
    <row r="138" spans="1:14" x14ac:dyDescent="0.25">
      <c r="B138" s="52"/>
      <c r="C138" s="19"/>
      <c r="G138" s="88" t="s">
        <v>4</v>
      </c>
      <c r="I138" s="88" t="s">
        <v>4</v>
      </c>
      <c r="K138" s="88"/>
      <c r="M138" s="52"/>
    </row>
    <row r="139" spans="1:14" x14ac:dyDescent="0.25">
      <c r="B139" s="16" t="s">
        <v>135</v>
      </c>
      <c r="C139" s="119"/>
      <c r="E139" s="120" t="e">
        <f>ROUND(E141/E$161,4)</f>
        <v>#REF!</v>
      </c>
      <c r="G139" s="120"/>
      <c r="I139" s="120"/>
      <c r="K139" s="120" t="s">
        <v>4</v>
      </c>
      <c r="M139" s="52"/>
    </row>
    <row r="140" spans="1:14" x14ac:dyDescent="0.25">
      <c r="A140" s="48">
        <v>6500</v>
      </c>
      <c r="B140" s="11" t="s">
        <v>134</v>
      </c>
      <c r="C140" s="128"/>
      <c r="E140" s="133">
        <v>0</v>
      </c>
      <c r="G140" s="297">
        <v>2004288</v>
      </c>
      <c r="I140" s="299">
        <v>340609</v>
      </c>
      <c r="K140" s="300">
        <v>348136</v>
      </c>
      <c r="L140" s="138"/>
      <c r="M140" s="301">
        <f>I140-E140</f>
        <v>340609</v>
      </c>
    </row>
    <row r="141" spans="1:14" x14ac:dyDescent="0.25">
      <c r="B141" s="16" t="s">
        <v>136</v>
      </c>
      <c r="C141" s="82"/>
      <c r="E141" s="134">
        <f>+E140</f>
        <v>0</v>
      </c>
      <c r="G141" s="298">
        <f>+G140</f>
        <v>2004288</v>
      </c>
      <c r="I141" s="298">
        <f>+I140</f>
        <v>340609</v>
      </c>
      <c r="K141" s="298">
        <f>+K140</f>
        <v>348136</v>
      </c>
      <c r="L141" s="138"/>
      <c r="M141" s="302">
        <f>SUM(M140:M140)</f>
        <v>340609</v>
      </c>
    </row>
    <row r="142" spans="1:14" x14ac:dyDescent="0.25">
      <c r="B142" s="16"/>
      <c r="C142" s="19"/>
    </row>
    <row r="143" spans="1:14" x14ac:dyDescent="0.25">
      <c r="B143" s="43" t="s">
        <v>116</v>
      </c>
      <c r="C143" s="119" t="e">
        <f>ROUND(C154/C$161,4)</f>
        <v>#REF!</v>
      </c>
      <c r="G143" s="120"/>
      <c r="I143" s="120"/>
      <c r="K143" s="120"/>
      <c r="M143" s="52"/>
    </row>
    <row r="144" spans="1:14" hidden="1" x14ac:dyDescent="0.25">
      <c r="A144" s="48">
        <v>6100</v>
      </c>
      <c r="B144" s="11" t="s">
        <v>11</v>
      </c>
      <c r="C144" s="119"/>
      <c r="G144" s="61">
        <v>0</v>
      </c>
      <c r="I144" s="61">
        <v>0</v>
      </c>
      <c r="K144" s="61">
        <v>0</v>
      </c>
      <c r="M144" s="101">
        <f>+K144-I144</f>
        <v>0</v>
      </c>
    </row>
    <row r="145" spans="1:13" hidden="1" x14ac:dyDescent="0.25">
      <c r="A145" s="48">
        <v>6200</v>
      </c>
      <c r="B145" s="11" t="s">
        <v>12</v>
      </c>
      <c r="C145" s="24">
        <v>89010</v>
      </c>
      <c r="E145" s="61">
        <v>689.89</v>
      </c>
      <c r="F145" s="86"/>
      <c r="G145" s="64">
        <v>0</v>
      </c>
      <c r="H145" s="87"/>
      <c r="I145" s="64">
        <v>0</v>
      </c>
      <c r="J145" s="87"/>
      <c r="K145" s="64">
        <v>0</v>
      </c>
      <c r="L145" s="87"/>
      <c r="M145" s="65">
        <f>+K145-I145</f>
        <v>0</v>
      </c>
    </row>
    <row r="146" spans="1:13" x14ac:dyDescent="0.25">
      <c r="A146" s="48">
        <v>6600</v>
      </c>
      <c r="B146" s="11" t="s">
        <v>15</v>
      </c>
      <c r="C146" s="122">
        <v>62389</v>
      </c>
      <c r="E146" s="129">
        <v>5421</v>
      </c>
      <c r="F146" s="87"/>
      <c r="G146" s="61">
        <v>0</v>
      </c>
      <c r="H146" s="87"/>
      <c r="I146" s="64">
        <v>472073</v>
      </c>
      <c r="J146" s="87"/>
      <c r="K146" s="129">
        <v>0</v>
      </c>
      <c r="L146" s="87"/>
      <c r="M146" s="64">
        <f>+K146-I146</f>
        <v>-472073</v>
      </c>
    </row>
    <row r="147" spans="1:13" x14ac:dyDescent="0.25">
      <c r="B147" s="16" t="s">
        <v>117</v>
      </c>
      <c r="C147" s="82">
        <f>+C146+C145</f>
        <v>151399</v>
      </c>
      <c r="E147" s="83">
        <f>+E146+E145</f>
        <v>6110.89</v>
      </c>
      <c r="F147" s="86"/>
      <c r="G147" s="83">
        <f>+G146+G145+G144</f>
        <v>0</v>
      </c>
      <c r="H147" s="86"/>
      <c r="I147" s="83">
        <f>+I146+I145+I144</f>
        <v>472073</v>
      </c>
      <c r="J147" s="86"/>
      <c r="K147" s="83">
        <f>+K146+K145+K144</f>
        <v>0</v>
      </c>
      <c r="L147" s="86"/>
      <c r="M147" s="83">
        <f>SUM(M145:M146)</f>
        <v>-472073</v>
      </c>
    </row>
    <row r="148" spans="1:13" x14ac:dyDescent="0.25">
      <c r="B148" s="16"/>
      <c r="C148" s="19"/>
      <c r="M148" s="16"/>
    </row>
    <row r="149" spans="1:13" x14ac:dyDescent="0.25">
      <c r="B149" s="43" t="s">
        <v>263</v>
      </c>
      <c r="C149" s="119" t="e">
        <f>ROUND(C156/C$161,4)</f>
        <v>#REF!</v>
      </c>
      <c r="G149" s="120"/>
      <c r="I149" s="120"/>
      <c r="K149" s="120"/>
      <c r="M149" s="52"/>
    </row>
    <row r="150" spans="1:13" x14ac:dyDescent="0.25">
      <c r="A150" s="48">
        <v>6200</v>
      </c>
      <c r="B150" s="11" t="s">
        <v>12</v>
      </c>
      <c r="C150" s="24">
        <v>4000</v>
      </c>
      <c r="E150" s="61">
        <v>13375</v>
      </c>
      <c r="F150" s="86"/>
      <c r="G150" s="61">
        <v>0</v>
      </c>
      <c r="H150" s="86"/>
      <c r="I150" s="61">
        <v>0</v>
      </c>
      <c r="J150" s="86"/>
      <c r="K150" s="61">
        <v>0</v>
      </c>
      <c r="L150" s="86"/>
      <c r="M150" s="61">
        <f>+K150-I150</f>
        <v>0</v>
      </c>
    </row>
    <row r="151" spans="1:13" x14ac:dyDescent="0.25">
      <c r="B151" s="16" t="s">
        <v>264</v>
      </c>
      <c r="C151" s="82">
        <f>+C150</f>
        <v>4000</v>
      </c>
      <c r="E151" s="83">
        <f>+E150</f>
        <v>13375</v>
      </c>
      <c r="F151" s="86"/>
      <c r="G151" s="83">
        <f>+G150</f>
        <v>0</v>
      </c>
      <c r="H151" s="86"/>
      <c r="I151" s="83">
        <f>+I150</f>
        <v>0</v>
      </c>
      <c r="J151" s="86"/>
      <c r="K151" s="83">
        <f>+K150</f>
        <v>0</v>
      </c>
      <c r="L151" s="86"/>
      <c r="M151" s="83">
        <f>SUM(M150:M150)</f>
        <v>0</v>
      </c>
    </row>
    <row r="152" spans="1:13" x14ac:dyDescent="0.25">
      <c r="B152" s="16"/>
      <c r="C152" s="130"/>
      <c r="E152" s="60"/>
      <c r="F152" s="86"/>
      <c r="G152" s="60"/>
      <c r="H152" s="86"/>
      <c r="I152" s="60"/>
      <c r="J152" s="86"/>
      <c r="K152" s="60"/>
      <c r="L152" s="86"/>
      <c r="M152" s="60"/>
    </row>
    <row r="153" spans="1:13" x14ac:dyDescent="0.25">
      <c r="B153" s="43" t="s">
        <v>118</v>
      </c>
      <c r="C153" s="119" t="e">
        <f>ROUND(C159/C$161,4)</f>
        <v>#REF!</v>
      </c>
      <c r="G153" s="120"/>
      <c r="I153" s="120"/>
      <c r="K153" s="120"/>
      <c r="M153" s="52"/>
    </row>
    <row r="154" spans="1:13" x14ac:dyDescent="0.25">
      <c r="A154" s="48">
        <v>6200</v>
      </c>
      <c r="B154" s="11" t="s">
        <v>12</v>
      </c>
      <c r="C154" s="24">
        <v>4000</v>
      </c>
      <c r="E154" s="61">
        <v>13375</v>
      </c>
      <c r="F154" s="86"/>
      <c r="G154" s="61">
        <v>0</v>
      </c>
      <c r="H154" s="86"/>
      <c r="I154" s="61">
        <v>25000</v>
      </c>
      <c r="J154" s="86"/>
      <c r="K154" s="61">
        <v>25000</v>
      </c>
      <c r="L154" s="86"/>
      <c r="M154" s="61">
        <f>+K154-I154</f>
        <v>0</v>
      </c>
    </row>
    <row r="155" spans="1:13" x14ac:dyDescent="0.25">
      <c r="B155" s="16" t="s">
        <v>119</v>
      </c>
      <c r="C155" s="82">
        <f>+C154</f>
        <v>4000</v>
      </c>
      <c r="E155" s="83">
        <f>+E154</f>
        <v>13375</v>
      </c>
      <c r="F155" s="86"/>
      <c r="G155" s="83">
        <f>+G154</f>
        <v>0</v>
      </c>
      <c r="H155" s="86"/>
      <c r="I155" s="83">
        <f>+I154</f>
        <v>25000</v>
      </c>
      <c r="J155" s="86"/>
      <c r="K155" s="83">
        <f>+K154</f>
        <v>25000</v>
      </c>
      <c r="L155" s="86"/>
      <c r="M155" s="83">
        <f>SUM(M154:M154)</f>
        <v>0</v>
      </c>
    </row>
    <row r="156" spans="1:13" x14ac:dyDescent="0.25">
      <c r="B156" s="16"/>
      <c r="C156" s="82"/>
      <c r="E156" s="134"/>
      <c r="G156" s="134"/>
      <c r="I156" s="134"/>
      <c r="K156" s="134"/>
      <c r="M156" s="135"/>
    </row>
    <row r="157" spans="1:13" x14ac:dyDescent="0.25">
      <c r="B157" s="43" t="s">
        <v>33</v>
      </c>
      <c r="C157" s="130"/>
      <c r="E157" s="131"/>
      <c r="G157" s="131"/>
      <c r="I157" s="131"/>
      <c r="K157" s="131"/>
      <c r="M157" s="63"/>
    </row>
    <row r="158" spans="1:13" x14ac:dyDescent="0.25">
      <c r="A158" s="48">
        <v>6200</v>
      </c>
      <c r="B158" s="11" t="s">
        <v>12</v>
      </c>
      <c r="C158" s="130">
        <v>0</v>
      </c>
      <c r="E158" s="60">
        <v>808670</v>
      </c>
      <c r="F158" s="86"/>
      <c r="G158" s="270">
        <v>1061384</v>
      </c>
      <c r="H158" s="86"/>
      <c r="I158" s="270">
        <v>1149000</v>
      </c>
      <c r="J158" s="86"/>
      <c r="K158" s="270">
        <v>1212824</v>
      </c>
      <c r="L158" s="86"/>
      <c r="M158" s="270">
        <f>+K158-I158</f>
        <v>63824</v>
      </c>
    </row>
    <row r="159" spans="1:13" x14ac:dyDescent="0.25">
      <c r="B159" s="16" t="s">
        <v>34</v>
      </c>
      <c r="C159" s="90">
        <f>SUM(C158)</f>
        <v>0</v>
      </c>
      <c r="E159" s="72">
        <f>SUM(E158)</f>
        <v>808670</v>
      </c>
      <c r="F159" s="86"/>
      <c r="G159" s="60">
        <f>SUM(G158)</f>
        <v>1061384</v>
      </c>
      <c r="H159" s="86"/>
      <c r="I159" s="60">
        <f>SUM(I158)</f>
        <v>1149000</v>
      </c>
      <c r="J159" s="86"/>
      <c r="K159" s="60">
        <f>SUM(K158)</f>
        <v>1212824</v>
      </c>
      <c r="L159" s="86"/>
      <c r="M159" s="60">
        <f>SUM(M158)</f>
        <v>63824</v>
      </c>
    </row>
    <row r="160" spans="1:13" x14ac:dyDescent="0.25">
      <c r="B160" s="16"/>
      <c r="C160" s="53"/>
      <c r="E160" s="16"/>
      <c r="G160" s="16"/>
      <c r="I160" s="16"/>
      <c r="K160" s="16"/>
      <c r="M160" s="16"/>
    </row>
    <row r="161" spans="2:17" x14ac:dyDescent="0.25">
      <c r="B161" s="69" t="s">
        <v>36</v>
      </c>
      <c r="C161" s="92" t="e">
        <f>+C23+C31+C39+C47+C55+C63+C71+C79+C95+C103+C113+C121+C129+C137+C141+C155+#REF!+C147+C159</f>
        <v>#REF!</v>
      </c>
      <c r="D161" s="93"/>
      <c r="E161" s="94" t="e">
        <f>+E23+E31+E39+E47+E55+E63+E71+E79+E95+E103+E113+E121+E129+E137+E141+E155+#REF!+E147+E159</f>
        <v>#REF!</v>
      </c>
      <c r="F161" s="95"/>
      <c r="G161" s="94">
        <f>+G23+G31+G39+G47+G55+G63+G71+G79+G87+G95+G103+G113+G121+G129+G137+G141+G155+G147+G159+G151</f>
        <v>283825765</v>
      </c>
      <c r="H161" s="95"/>
      <c r="I161" s="94">
        <f>+I23+I31+I39+I47+I55+I63+I71+I79+I87+I95+I103+I113+I121+I129+I137+I141+I155+I147+I159+I151</f>
        <v>295831309</v>
      </c>
      <c r="J161" s="95"/>
      <c r="K161" s="94">
        <f>+K23+K31+K39+K47+K55+K63+K71+K79+K87+K95+K103+K113+K121+K129+K137+K141+K155+K147+K159+K151</f>
        <v>307591688</v>
      </c>
      <c r="L161" s="95"/>
      <c r="M161" s="136">
        <f>SUM(M18:M159)/2</f>
        <v>12093461</v>
      </c>
    </row>
    <row r="162" spans="2:17" x14ac:dyDescent="0.25">
      <c r="B162" s="55"/>
      <c r="C162" s="99"/>
      <c r="E162" s="100"/>
      <c r="F162" s="86"/>
      <c r="G162" s="100"/>
      <c r="H162" s="86"/>
      <c r="I162" s="100"/>
      <c r="J162" s="86"/>
      <c r="K162" s="100"/>
      <c r="L162" s="86"/>
      <c r="M162" s="100"/>
    </row>
    <row r="163" spans="2:17" x14ac:dyDescent="0.25">
      <c r="B163" s="15" t="s">
        <v>39</v>
      </c>
      <c r="C163" s="14"/>
      <c r="E163" s="11"/>
      <c r="G163" s="52"/>
      <c r="I163" s="52"/>
      <c r="K163" s="52"/>
      <c r="M163" s="96"/>
    </row>
    <row r="164" spans="2:17" x14ac:dyDescent="0.25">
      <c r="B164" s="15" t="s">
        <v>40</v>
      </c>
      <c r="C164" s="97" t="e">
        <f>C14-#REF!+#REF!</f>
        <v>#REF!</v>
      </c>
      <c r="E164" s="98" t="e">
        <f>E14-#REF!+#REF!</f>
        <v>#REF!</v>
      </c>
      <c r="F164" s="86"/>
      <c r="G164" s="98">
        <f>+G14-G161</f>
        <v>5244469</v>
      </c>
      <c r="H164" s="86"/>
      <c r="I164" s="98">
        <f>I14-I161</f>
        <v>-2741915</v>
      </c>
      <c r="J164" s="86"/>
      <c r="K164" s="98">
        <f>K14-K161</f>
        <v>-191656</v>
      </c>
      <c r="L164" s="86"/>
      <c r="M164" s="98">
        <f>M14-M161</f>
        <v>2217177</v>
      </c>
      <c r="Q164" s="1">
        <f>SUM(Q2:Q163)</f>
        <v>1</v>
      </c>
    </row>
    <row r="165" spans="2:17" x14ac:dyDescent="0.25">
      <c r="B165" s="15"/>
      <c r="C165" s="24"/>
      <c r="E165" s="88"/>
      <c r="G165" s="110"/>
      <c r="I165" s="110"/>
      <c r="K165" s="110"/>
      <c r="M165" s="96"/>
    </row>
    <row r="166" spans="2:17" x14ac:dyDescent="0.25">
      <c r="B166" s="11" t="s">
        <v>131</v>
      </c>
      <c r="C166" s="24"/>
      <c r="E166" s="88"/>
      <c r="G166" s="101">
        <v>635000</v>
      </c>
      <c r="H166" s="86"/>
      <c r="I166" s="101">
        <v>0</v>
      </c>
      <c r="J166" s="86"/>
      <c r="K166" s="101">
        <v>0</v>
      </c>
      <c r="L166" s="86"/>
      <c r="M166" s="101">
        <f>+K166-I166</f>
        <v>0</v>
      </c>
    </row>
    <row r="167" spans="2:17" x14ac:dyDescent="0.25">
      <c r="B167" s="11" t="s">
        <v>130</v>
      </c>
      <c r="C167" s="24"/>
      <c r="E167" s="88"/>
      <c r="G167" s="102">
        <v>94912</v>
      </c>
      <c r="H167" s="103"/>
      <c r="I167" s="102">
        <v>0</v>
      </c>
      <c r="J167" s="86"/>
      <c r="K167" s="101"/>
      <c r="L167" s="86"/>
      <c r="M167" s="101"/>
    </row>
    <row r="168" spans="2:17" x14ac:dyDescent="0.25">
      <c r="B168" s="11" t="s">
        <v>132</v>
      </c>
      <c r="C168" s="24"/>
      <c r="E168" s="88"/>
      <c r="G168" s="65">
        <v>0</v>
      </c>
      <c r="H168" s="87"/>
      <c r="I168" s="65">
        <v>-43600</v>
      </c>
      <c r="K168" s="65">
        <v>0</v>
      </c>
      <c r="M168" s="65">
        <f>+K168-I168</f>
        <v>43600</v>
      </c>
    </row>
    <row r="169" spans="2:17" x14ac:dyDescent="0.25">
      <c r="B169" s="11" t="s">
        <v>124</v>
      </c>
      <c r="C169" s="24"/>
      <c r="E169" s="88"/>
      <c r="G169" s="87">
        <v>0</v>
      </c>
      <c r="H169" s="87"/>
      <c r="I169" s="65"/>
      <c r="K169" s="65"/>
      <c r="M169" s="65"/>
    </row>
    <row r="170" spans="2:17" x14ac:dyDescent="0.25">
      <c r="B170" s="48" t="s">
        <v>133</v>
      </c>
      <c r="D170" s="48"/>
      <c r="F170" s="48"/>
      <c r="G170" s="91">
        <v>382030</v>
      </c>
      <c r="H170" s="87"/>
      <c r="I170" s="137">
        <v>650000</v>
      </c>
      <c r="K170" s="137">
        <v>550000</v>
      </c>
      <c r="M170" s="137">
        <f>+K170-I170</f>
        <v>-100000</v>
      </c>
    </row>
    <row r="171" spans="2:17" x14ac:dyDescent="0.25">
      <c r="B171" s="15"/>
      <c r="C171" s="24"/>
      <c r="E171" s="88"/>
      <c r="G171" s="110"/>
      <c r="I171" s="110"/>
      <c r="K171" s="110"/>
      <c r="M171" s="96"/>
      <c r="O171" s="1" t="s">
        <v>4</v>
      </c>
    </row>
    <row r="172" spans="2:17" x14ac:dyDescent="0.25">
      <c r="B172" s="15" t="s">
        <v>126</v>
      </c>
      <c r="C172" s="24"/>
      <c r="E172" s="88"/>
      <c r="G172" s="138">
        <f>SUM(G164:G171)</f>
        <v>6356411</v>
      </c>
      <c r="I172" s="138">
        <f>SUM(I164:I171)</f>
        <v>-2135515</v>
      </c>
      <c r="K172" s="138">
        <f>SUM(K164:K171)</f>
        <v>358344</v>
      </c>
      <c r="M172" s="96"/>
    </row>
    <row r="173" spans="2:17" x14ac:dyDescent="0.25">
      <c r="B173" s="15"/>
      <c r="C173" s="24"/>
      <c r="E173" s="88"/>
      <c r="G173" s="110"/>
      <c r="I173" s="110"/>
      <c r="K173" s="110"/>
      <c r="M173" s="96"/>
    </row>
    <row r="174" spans="2:17" x14ac:dyDescent="0.25">
      <c r="B174" s="15" t="s">
        <v>6</v>
      </c>
      <c r="C174" s="24">
        <v>31483659</v>
      </c>
      <c r="E174" s="61" t="e">
        <f>+C176</f>
        <v>#REF!</v>
      </c>
      <c r="F174" s="86"/>
      <c r="G174" s="270">
        <v>107128097</v>
      </c>
      <c r="H174" s="86"/>
      <c r="I174" s="270">
        <f>+G176</f>
        <v>113484508</v>
      </c>
      <c r="J174" s="86"/>
      <c r="K174" s="270">
        <f>+I176</f>
        <v>111348993</v>
      </c>
      <c r="M174" s="88"/>
    </row>
    <row r="175" spans="2:17" x14ac:dyDescent="0.25">
      <c r="B175" s="15"/>
      <c r="C175" s="112"/>
      <c r="E175" s="61"/>
      <c r="F175" s="86"/>
      <c r="G175" s="61"/>
      <c r="H175" s="86"/>
      <c r="I175" s="61"/>
      <c r="J175" s="86"/>
      <c r="K175" s="61"/>
      <c r="M175" s="110"/>
    </row>
    <row r="176" spans="2:17" ht="16.5" thickBot="1" x14ac:dyDescent="0.3">
      <c r="B176" s="15" t="s">
        <v>7</v>
      </c>
      <c r="C176" s="24" t="e">
        <f>+C174+C164</f>
        <v>#REF!</v>
      </c>
      <c r="E176" s="61" t="e">
        <f>E164+E174</f>
        <v>#REF!</v>
      </c>
      <c r="F176" s="86"/>
      <c r="G176" s="113">
        <f>+G174+G172</f>
        <v>113484508</v>
      </c>
      <c r="H176" s="114"/>
      <c r="I176" s="113">
        <f>+I174+I172</f>
        <v>111348993</v>
      </c>
      <c r="J176" s="114"/>
      <c r="K176" s="113">
        <f>+K174+K172</f>
        <v>111707337</v>
      </c>
      <c r="M176" s="110"/>
    </row>
    <row r="177" spans="2:13" ht="16.5" thickTop="1" x14ac:dyDescent="0.25">
      <c r="B177" s="52"/>
      <c r="C177" s="115"/>
      <c r="E177" s="116"/>
      <c r="G177" s="117"/>
      <c r="I177" s="117"/>
      <c r="K177" s="117"/>
      <c r="M177" s="110"/>
    </row>
    <row r="178" spans="2:13" x14ac:dyDescent="0.25">
      <c r="C178" s="46"/>
      <c r="E178" s="15"/>
      <c r="G178" s="15"/>
      <c r="I178" s="15"/>
      <c r="K178" s="15"/>
      <c r="M178" s="15"/>
    </row>
    <row r="179" spans="2:13" hidden="1" x14ac:dyDescent="0.25">
      <c r="C179" s="19"/>
      <c r="G179" s="358">
        <f>SUM(G166+G167+G168+G169+G170+G14)</f>
        <v>290182176</v>
      </c>
      <c r="I179" s="358">
        <f>SUM(I166+I167+I168+I169+I170+I14)</f>
        <v>293695794</v>
      </c>
      <c r="K179" s="358">
        <f>SUM(K166+K167+K168+K169+K170+K14)</f>
        <v>307950032</v>
      </c>
    </row>
    <row r="180" spans="2:13" x14ac:dyDescent="0.25">
      <c r="C180" s="19"/>
    </row>
    <row r="181" spans="2:13" x14ac:dyDescent="0.25">
      <c r="C181" s="19"/>
      <c r="G181" s="358"/>
    </row>
    <row r="182" spans="2:13" x14ac:dyDescent="0.25">
      <c r="C182" s="19"/>
    </row>
    <row r="183" spans="2:13" x14ac:dyDescent="0.25">
      <c r="C183" s="19"/>
    </row>
    <row r="184" spans="2:13" x14ac:dyDescent="0.25">
      <c r="C184" s="19"/>
    </row>
    <row r="185" spans="2:13" x14ac:dyDescent="0.25">
      <c r="C185" s="19"/>
    </row>
  </sheetData>
  <mergeCells count="3">
    <mergeCell ref="B1:M1"/>
    <mergeCell ref="B2:M2"/>
    <mergeCell ref="B3:M3"/>
  </mergeCells>
  <phoneticPr fontId="5" type="noConversion"/>
  <pageMargins left="0.25" right="0.25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topLeftCell="A25" zoomScaleNormal="100" workbookViewId="0">
      <selection activeCell="X31" sqref="X31"/>
    </sheetView>
  </sheetViews>
  <sheetFormatPr defaultRowHeight="15" x14ac:dyDescent="0.25"/>
  <cols>
    <col min="1" max="1" width="4.5703125" style="369" customWidth="1"/>
    <col min="2" max="2" width="35.5703125" style="143" customWidth="1"/>
    <col min="3" max="3" width="15.140625" style="12" bestFit="1" customWidth="1"/>
    <col min="4" max="4" width="1.7109375" style="12" customWidth="1"/>
    <col min="5" max="5" width="14.28515625" style="12" bestFit="1" customWidth="1"/>
    <col min="6" max="6" width="1.7109375" style="12" customWidth="1"/>
    <col min="7" max="7" width="14.7109375" style="12" bestFit="1" customWidth="1"/>
    <col min="8" max="8" width="1.7109375" style="12" customWidth="1"/>
    <col min="9" max="9" width="12.7109375" style="12" bestFit="1" customWidth="1"/>
    <col min="10" max="10" width="3.85546875" style="12" customWidth="1"/>
    <col min="11" max="11" width="12.85546875" style="12" hidden="1" customWidth="1"/>
    <col min="12" max="12" width="1.7109375" style="12" hidden="1" customWidth="1"/>
    <col min="13" max="13" width="12.5703125" style="12" customWidth="1"/>
    <col min="14" max="14" width="1.7109375" style="12" customWidth="1"/>
    <col min="15" max="15" width="15.140625" style="12" bestFit="1" customWidth="1"/>
    <col min="16" max="16" width="9.28515625" style="315" bestFit="1" customWidth="1"/>
    <col min="17" max="17" width="0" style="12" hidden="1" customWidth="1"/>
    <col min="18" max="18" width="13.7109375" style="12" hidden="1" customWidth="1"/>
    <col min="19" max="19" width="13.42578125" style="12" hidden="1" customWidth="1"/>
    <col min="20" max="16384" width="9.140625" style="10"/>
  </cols>
  <sheetData>
    <row r="1" spans="1:19" s="9" customFormat="1" ht="22.5" x14ac:dyDescent="0.3">
      <c r="A1" s="362"/>
      <c r="B1" s="373" t="s">
        <v>101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11"/>
      <c r="R1" s="11"/>
      <c r="S1" s="12"/>
    </row>
    <row r="2" spans="1:19" s="9" customFormat="1" ht="20.25" x14ac:dyDescent="0.3">
      <c r="A2" s="362"/>
      <c r="B2" s="374" t="s">
        <v>8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11"/>
      <c r="R2" s="11"/>
      <c r="S2" s="12"/>
    </row>
    <row r="3" spans="1:19" s="9" customFormat="1" ht="20.25" x14ac:dyDescent="0.3">
      <c r="A3" s="362"/>
      <c r="B3" s="374" t="s">
        <v>100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11"/>
      <c r="R3" s="11"/>
      <c r="S3" s="12"/>
    </row>
    <row r="4" spans="1:19" s="9" customFormat="1" x14ac:dyDescent="0.25">
      <c r="A4" s="363"/>
      <c r="B4" s="142"/>
      <c r="C4" s="14"/>
      <c r="D4" s="14"/>
      <c r="E4" s="14"/>
      <c r="F4" s="14"/>
      <c r="G4" s="14"/>
      <c r="H4" s="14"/>
      <c r="I4" s="14"/>
      <c r="J4" s="14"/>
      <c r="K4" s="13"/>
      <c r="L4" s="14"/>
      <c r="M4" s="14"/>
      <c r="N4" s="14"/>
      <c r="O4" s="14"/>
      <c r="P4" s="309"/>
      <c r="Q4" s="14"/>
      <c r="R4" s="14"/>
      <c r="S4" s="12"/>
    </row>
    <row r="5" spans="1:19" s="9" customFormat="1" ht="15.75" x14ac:dyDescent="0.25">
      <c r="A5" s="363"/>
      <c r="B5" s="139"/>
      <c r="C5" s="16" t="s">
        <v>43</v>
      </c>
      <c r="D5" s="15"/>
      <c r="E5" s="16" t="s">
        <v>44</v>
      </c>
      <c r="F5" s="15"/>
      <c r="G5" s="16" t="s">
        <v>45</v>
      </c>
      <c r="H5" s="15"/>
      <c r="I5" s="16" t="s">
        <v>46</v>
      </c>
      <c r="J5" s="16"/>
      <c r="K5" s="16" t="s">
        <v>47</v>
      </c>
      <c r="L5" s="15"/>
      <c r="M5" s="16" t="s">
        <v>48</v>
      </c>
      <c r="N5" s="15"/>
      <c r="O5" s="15"/>
      <c r="P5" s="308"/>
      <c r="Q5" s="14"/>
      <c r="R5" s="14"/>
      <c r="S5" s="12"/>
    </row>
    <row r="6" spans="1:19" s="9" customFormat="1" ht="15.75" x14ac:dyDescent="0.25">
      <c r="A6" s="363"/>
      <c r="B6" s="139"/>
      <c r="C6" s="16" t="s">
        <v>49</v>
      </c>
      <c r="D6" s="15"/>
      <c r="E6" s="16" t="s">
        <v>49</v>
      </c>
      <c r="F6" s="15"/>
      <c r="G6" s="16" t="s">
        <v>50</v>
      </c>
      <c r="H6" s="15"/>
      <c r="I6" s="16" t="s">
        <v>51</v>
      </c>
      <c r="J6" s="16"/>
      <c r="K6" s="16" t="s">
        <v>52</v>
      </c>
      <c r="L6" s="15"/>
      <c r="M6" s="16" t="s">
        <v>53</v>
      </c>
      <c r="N6" s="15"/>
      <c r="O6" s="15"/>
      <c r="P6" s="310" t="s">
        <v>54</v>
      </c>
      <c r="Q6" s="14"/>
      <c r="R6" s="14" t="s">
        <v>55</v>
      </c>
      <c r="S6" s="12"/>
    </row>
    <row r="7" spans="1:19" s="9" customFormat="1" ht="15.75" x14ac:dyDescent="0.25">
      <c r="A7" s="363"/>
      <c r="B7" s="146" t="s">
        <v>56</v>
      </c>
      <c r="C7" s="16" t="s">
        <v>57</v>
      </c>
      <c r="D7" s="15"/>
      <c r="E7" s="16" t="s">
        <v>58</v>
      </c>
      <c r="F7" s="15"/>
      <c r="G7" s="16" t="s">
        <v>59</v>
      </c>
      <c r="H7" s="15"/>
      <c r="I7" s="16" t="s">
        <v>60</v>
      </c>
      <c r="J7" s="16"/>
      <c r="K7" s="18" t="s">
        <v>61</v>
      </c>
      <c r="L7" s="15"/>
      <c r="M7" s="16" t="s">
        <v>62</v>
      </c>
      <c r="N7" s="15"/>
      <c r="O7" s="16" t="s">
        <v>63</v>
      </c>
      <c r="P7" s="310" t="s">
        <v>64</v>
      </c>
      <c r="Q7" s="19"/>
      <c r="R7" s="19"/>
      <c r="S7" s="12"/>
    </row>
    <row r="8" spans="1:19" s="9" customFormat="1" x14ac:dyDescent="0.25">
      <c r="A8" s="363"/>
      <c r="B8" s="147"/>
      <c r="C8" s="20"/>
      <c r="D8" s="13"/>
      <c r="E8" s="20"/>
      <c r="F8" s="13"/>
      <c r="G8" s="20"/>
      <c r="H8" s="13"/>
      <c r="I8" s="20"/>
      <c r="J8" s="21"/>
      <c r="K8" s="13"/>
      <c r="L8" s="13"/>
      <c r="M8" s="20"/>
      <c r="N8" s="13"/>
      <c r="O8" s="20"/>
      <c r="P8" s="311"/>
      <c r="Q8" s="14"/>
      <c r="R8" s="14" t="s">
        <v>4</v>
      </c>
      <c r="S8" s="12"/>
    </row>
    <row r="9" spans="1:19" s="144" customFormat="1" ht="47.25" x14ac:dyDescent="0.25">
      <c r="A9" s="364"/>
      <c r="B9" s="139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312"/>
      <c r="Q9" s="141"/>
      <c r="R9" s="142"/>
      <c r="S9" s="143"/>
    </row>
    <row r="10" spans="1:19" s="9" customFormat="1" x14ac:dyDescent="0.25">
      <c r="A10" s="365" t="s">
        <v>66</v>
      </c>
      <c r="B10" s="142" t="s">
        <v>67</v>
      </c>
      <c r="C10" s="22">
        <f>SUM(Comparison!K18)</f>
        <v>176326009</v>
      </c>
      <c r="D10" s="23"/>
      <c r="E10" s="27">
        <f>+Comparison!K19</f>
        <v>1768370</v>
      </c>
      <c r="F10" s="27"/>
      <c r="G10" s="27">
        <f>+Comparison!K20</f>
        <v>8546969</v>
      </c>
      <c r="H10" s="27"/>
      <c r="I10" s="27">
        <f>+Comparison!K21</f>
        <v>1581468</v>
      </c>
      <c r="J10" s="27"/>
      <c r="K10" s="27"/>
      <c r="L10" s="27"/>
      <c r="M10" s="27">
        <f>+Comparison!K22</f>
        <v>55500</v>
      </c>
      <c r="N10" s="23"/>
      <c r="O10" s="22">
        <f>SUM(C10:N10)</f>
        <v>188278316</v>
      </c>
      <c r="P10" s="313">
        <f>ROUND(O10/O$39,4)</f>
        <v>0.61209999999999998</v>
      </c>
      <c r="Q10" s="14"/>
      <c r="R10" s="24">
        <f>+Comparison!K23</f>
        <v>188278316</v>
      </c>
      <c r="S10" s="25">
        <f>+R10-O10</f>
        <v>0</v>
      </c>
    </row>
    <row r="11" spans="1:19" s="9" customFormat="1" ht="26.25" x14ac:dyDescent="0.25">
      <c r="A11" s="365" t="s">
        <v>68</v>
      </c>
      <c r="B11" s="142" t="s">
        <v>95</v>
      </c>
      <c r="C11" s="26">
        <f>+Comparison!K26</f>
        <v>3358770</v>
      </c>
      <c r="D11" s="27"/>
      <c r="E11" s="26">
        <f>+Comparison!K27</f>
        <v>104412</v>
      </c>
      <c r="F11" s="27"/>
      <c r="G11" s="26">
        <f>+Comparison!K28</f>
        <v>105909</v>
      </c>
      <c r="H11" s="27"/>
      <c r="I11" s="26">
        <f>+Comparison!K29</f>
        <v>21781</v>
      </c>
      <c r="J11" s="26"/>
      <c r="K11" s="28"/>
      <c r="L11" s="27"/>
      <c r="M11" s="26">
        <f>+Comparison!K30</f>
        <v>106400</v>
      </c>
      <c r="N11" s="27"/>
      <c r="O11" s="27">
        <f>SUM(C11:N11)</f>
        <v>3697272</v>
      </c>
      <c r="P11" s="313">
        <f>ROUND(O11/O$39,4)</f>
        <v>1.2E-2</v>
      </c>
      <c r="Q11" s="14"/>
      <c r="R11" s="24">
        <f>+Comparison!K31</f>
        <v>3697272</v>
      </c>
      <c r="S11" s="25">
        <f>+R11-O11</f>
        <v>0</v>
      </c>
    </row>
    <row r="12" spans="1:19" s="9" customFormat="1" ht="26.25" x14ac:dyDescent="0.25">
      <c r="A12" s="365" t="s">
        <v>69</v>
      </c>
      <c r="B12" s="142" t="s">
        <v>96</v>
      </c>
      <c r="C12" s="27">
        <f>+Comparison!K34</f>
        <v>3366715</v>
      </c>
      <c r="D12" s="27"/>
      <c r="E12" s="27">
        <f>+Comparison!K35</f>
        <v>140159</v>
      </c>
      <c r="F12" s="27"/>
      <c r="G12" s="27">
        <f>+Comparison!K36</f>
        <v>105200</v>
      </c>
      <c r="H12" s="27"/>
      <c r="I12" s="27">
        <f>+Comparison!K37</f>
        <v>311575</v>
      </c>
      <c r="J12" s="27"/>
      <c r="K12" s="27"/>
      <c r="L12" s="27"/>
      <c r="M12" s="27">
        <f>+Comparison!K38</f>
        <v>0</v>
      </c>
      <c r="N12" s="27"/>
      <c r="O12" s="27">
        <f>SUM(C12:N12)</f>
        <v>3923649</v>
      </c>
      <c r="P12" s="313">
        <f>ROUND(O12/O$39,4)</f>
        <v>1.2800000000000001E-2</v>
      </c>
      <c r="Q12" s="14"/>
      <c r="R12" s="24">
        <f>+Comparison!K39</f>
        <v>3923649</v>
      </c>
      <c r="S12" s="25">
        <f>+R12-O12</f>
        <v>0</v>
      </c>
    </row>
    <row r="13" spans="1:19" s="9" customFormat="1" ht="9.9499999999999993" customHeight="1" x14ac:dyDescent="0.25">
      <c r="A13" s="363"/>
      <c r="B13" s="145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13"/>
      <c r="Q13" s="14"/>
      <c r="R13" s="14"/>
      <c r="S13" s="12"/>
    </row>
    <row r="14" spans="1:19" s="9" customFormat="1" ht="31.5" x14ac:dyDescent="0.25">
      <c r="A14" s="363"/>
      <c r="B14" s="139" t="s">
        <v>70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313"/>
      <c r="Q14" s="14"/>
      <c r="R14" s="14"/>
      <c r="S14" s="12"/>
    </row>
    <row r="15" spans="1:19" s="9" customFormat="1" x14ac:dyDescent="0.25">
      <c r="A15" s="365" t="s">
        <v>71</v>
      </c>
      <c r="B15" s="142" t="s">
        <v>72</v>
      </c>
      <c r="C15" s="27">
        <f>+Comparison!K42</f>
        <v>3437303</v>
      </c>
      <c r="D15" s="27"/>
      <c r="E15" s="27">
        <f>+Comparison!K43</f>
        <v>38370</v>
      </c>
      <c r="F15" s="27"/>
      <c r="G15" s="27">
        <f>+Comparison!K44</f>
        <v>103910</v>
      </c>
      <c r="H15" s="27"/>
      <c r="I15" s="27">
        <f>+Comparison!K45</f>
        <v>79615</v>
      </c>
      <c r="J15" s="27"/>
      <c r="K15" s="27"/>
      <c r="L15" s="27"/>
      <c r="M15" s="27">
        <f>+Comparison!K46</f>
        <v>0</v>
      </c>
      <c r="N15" s="27"/>
      <c r="O15" s="27">
        <f>SUM(C15:N15)</f>
        <v>3659198</v>
      </c>
      <c r="P15" s="313">
        <f>ROUND(O15/O$39,4)</f>
        <v>1.1900000000000001E-2</v>
      </c>
      <c r="Q15" s="14"/>
      <c r="R15" s="24">
        <f>+Comparison!K47</f>
        <v>3659198</v>
      </c>
      <c r="S15" s="25">
        <f>+R15-O15</f>
        <v>0</v>
      </c>
    </row>
    <row r="16" spans="1:19" s="9" customFormat="1" x14ac:dyDescent="0.25">
      <c r="A16" s="365" t="s">
        <v>73</v>
      </c>
      <c r="B16" s="142" t="s">
        <v>74</v>
      </c>
      <c r="C16" s="27">
        <f>+Comparison!K50</f>
        <v>18502955</v>
      </c>
      <c r="D16" s="27"/>
      <c r="E16" s="27">
        <f>+Comparison!K51</f>
        <v>131853</v>
      </c>
      <c r="F16" s="27"/>
      <c r="G16" s="27">
        <f>+Comparison!K52</f>
        <v>86716</v>
      </c>
      <c r="H16" s="27"/>
      <c r="I16" s="27">
        <f>+Comparison!K53</f>
        <v>91695</v>
      </c>
      <c r="J16" s="27"/>
      <c r="K16" s="27"/>
      <c r="L16" s="27"/>
      <c r="M16" s="27">
        <f>+Comparison!K54</f>
        <v>0</v>
      </c>
      <c r="N16" s="27"/>
      <c r="O16" s="27">
        <f>SUM(C16:N16)</f>
        <v>18813219</v>
      </c>
      <c r="P16" s="313">
        <f>ROUND(O16/O$39,4)</f>
        <v>6.1199999999999997E-2</v>
      </c>
      <c r="Q16" s="14"/>
      <c r="R16" s="24">
        <f>+Comparison!K55</f>
        <v>18813219</v>
      </c>
      <c r="S16" s="25">
        <f>+R16-O16</f>
        <v>0</v>
      </c>
    </row>
    <row r="17" spans="1:19" s="9" customFormat="1" ht="9.9499999999999993" customHeight="1" x14ac:dyDescent="0.25">
      <c r="A17" s="365"/>
      <c r="B17" s="14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13"/>
      <c r="Q17" s="14"/>
      <c r="R17" s="14"/>
      <c r="S17" s="12"/>
    </row>
    <row r="18" spans="1:19" s="9" customFormat="1" ht="15.75" x14ac:dyDescent="0.25">
      <c r="A18" s="363"/>
      <c r="B18" s="139" t="s">
        <v>75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13"/>
      <c r="Q18" s="14"/>
      <c r="R18" s="14"/>
      <c r="S18" s="12"/>
    </row>
    <row r="19" spans="1:19" s="9" customFormat="1" x14ac:dyDescent="0.25">
      <c r="A19" s="365" t="s">
        <v>76</v>
      </c>
      <c r="B19" s="142" t="s">
        <v>77</v>
      </c>
      <c r="C19" s="27">
        <f>+Comparison!K58</f>
        <v>9289257</v>
      </c>
      <c r="D19" s="27"/>
      <c r="E19" s="27">
        <f>+Comparison!K59</f>
        <v>168729</v>
      </c>
      <c r="F19" s="27"/>
      <c r="G19" s="27">
        <f>+Comparison!K60</f>
        <v>510114</v>
      </c>
      <c r="H19" s="27"/>
      <c r="I19" s="27">
        <f>+Comparison!K61</f>
        <v>37760</v>
      </c>
      <c r="J19" s="27"/>
      <c r="K19" s="27"/>
      <c r="L19" s="27"/>
      <c r="M19" s="27">
        <f>+Comparison!K62</f>
        <v>0</v>
      </c>
      <c r="N19" s="27"/>
      <c r="O19" s="27">
        <f>SUM(C19:N19)</f>
        <v>10005860</v>
      </c>
      <c r="P19" s="313">
        <f>ROUND(O19/O$39,4)</f>
        <v>3.2500000000000001E-2</v>
      </c>
      <c r="Q19" s="14"/>
      <c r="R19" s="24">
        <f>+Comparison!K63</f>
        <v>10005860</v>
      </c>
      <c r="S19" s="25">
        <f>+R19-O19</f>
        <v>0</v>
      </c>
    </row>
    <row r="20" spans="1:19" s="9" customFormat="1" x14ac:dyDescent="0.25">
      <c r="A20" s="365" t="s">
        <v>78</v>
      </c>
      <c r="B20" s="142" t="s">
        <v>79</v>
      </c>
      <c r="C20" s="27">
        <f>+Comparison!K66</f>
        <v>4422892</v>
      </c>
      <c r="D20" s="27"/>
      <c r="E20" s="27">
        <f>+Comparison!K67</f>
        <v>10900</v>
      </c>
      <c r="F20" s="27"/>
      <c r="G20" s="27">
        <f>+Comparison!K68</f>
        <v>79333</v>
      </c>
      <c r="H20" s="27"/>
      <c r="I20" s="27">
        <f>+Comparison!K69</f>
        <v>15485</v>
      </c>
      <c r="J20" s="27"/>
      <c r="K20" s="27"/>
      <c r="L20" s="27"/>
      <c r="M20" s="27">
        <f>+Comparison!K70</f>
        <v>0</v>
      </c>
      <c r="N20" s="27"/>
      <c r="O20" s="27">
        <f>SUM(C20:N20)</f>
        <v>4528610</v>
      </c>
      <c r="P20" s="313">
        <f>ROUND(O20/O$39,4)</f>
        <v>1.47E-2</v>
      </c>
      <c r="Q20" s="14"/>
      <c r="R20" s="24">
        <f>+Comparison!K71</f>
        <v>4528610</v>
      </c>
      <c r="S20" s="25">
        <f>+R20-O20</f>
        <v>0</v>
      </c>
    </row>
    <row r="21" spans="1:19" s="9" customFormat="1" x14ac:dyDescent="0.25">
      <c r="A21" s="365" t="s">
        <v>80</v>
      </c>
      <c r="B21" s="142" t="s">
        <v>81</v>
      </c>
      <c r="C21" s="27">
        <f>+Comparison!K74</f>
        <v>9162985</v>
      </c>
      <c r="D21" s="27"/>
      <c r="E21" s="27">
        <f>+Comparison!K75</f>
        <v>353427</v>
      </c>
      <c r="F21" s="27"/>
      <c r="G21" s="27">
        <f>+Comparison!K76</f>
        <v>2336051</v>
      </c>
      <c r="H21" s="27"/>
      <c r="I21" s="27">
        <f>+Comparison!K77</f>
        <v>-270942</v>
      </c>
      <c r="J21" s="27"/>
      <c r="K21" s="27"/>
      <c r="L21" s="27"/>
      <c r="M21" s="27">
        <f>+Comparison!K78</f>
        <v>1009170</v>
      </c>
      <c r="N21" s="27"/>
      <c r="O21" s="27">
        <f>SUM(C21:N21)</f>
        <v>12590691</v>
      </c>
      <c r="P21" s="313">
        <f>ROUND(O21/O$39,4)</f>
        <v>4.0899999999999999E-2</v>
      </c>
      <c r="Q21" s="14"/>
      <c r="R21" s="24">
        <f>+Comparison!K79</f>
        <v>12590691</v>
      </c>
      <c r="S21" s="25">
        <f>+R21-O21</f>
        <v>0</v>
      </c>
    </row>
    <row r="22" spans="1:19" s="12" customFormat="1" x14ac:dyDescent="0.25">
      <c r="A22" s="366" t="s">
        <v>82</v>
      </c>
      <c r="B22" s="142" t="s">
        <v>121</v>
      </c>
      <c r="C22" s="27">
        <f>+Comparison!K90</f>
        <v>4848014</v>
      </c>
      <c r="D22" s="27"/>
      <c r="E22" s="27">
        <f>+Comparison!K91</f>
        <v>1590286</v>
      </c>
      <c r="F22" s="27"/>
      <c r="G22" s="27">
        <f>+Comparison!K92</f>
        <v>1137894</v>
      </c>
      <c r="H22" s="27"/>
      <c r="I22" s="27">
        <f>+Comparison!K93</f>
        <v>1342411</v>
      </c>
      <c r="J22" s="27"/>
      <c r="K22" s="27"/>
      <c r="L22" s="27"/>
      <c r="M22" s="27">
        <f>+Comparison!K94</f>
        <v>0</v>
      </c>
      <c r="N22" s="27"/>
      <c r="O22" s="27">
        <f>SUM(C22:N22)</f>
        <v>8918605</v>
      </c>
      <c r="P22" s="313">
        <f>ROUND(O22/O$39,4)</f>
        <v>2.9000000000000001E-2</v>
      </c>
      <c r="Q22" s="14"/>
      <c r="R22" s="24">
        <f>+Comparison!K95</f>
        <v>8918605</v>
      </c>
      <c r="S22" s="25">
        <f>+R22-O22</f>
        <v>0</v>
      </c>
    </row>
    <row r="23" spans="1:19" x14ac:dyDescent="0.25">
      <c r="A23" s="365" t="s">
        <v>90</v>
      </c>
      <c r="B23" s="142" t="s">
        <v>97</v>
      </c>
      <c r="C23" s="27">
        <f>+Comparison!K132</f>
        <v>149467</v>
      </c>
      <c r="D23" s="27"/>
      <c r="E23" s="27">
        <f>+Comparison!K133</f>
        <v>35325</v>
      </c>
      <c r="F23" s="27"/>
      <c r="G23" s="27">
        <f>+Comparison!K134</f>
        <v>95204</v>
      </c>
      <c r="H23" s="27"/>
      <c r="I23" s="27">
        <f>+Comparison!K135</f>
        <v>48876</v>
      </c>
      <c r="J23" s="27"/>
      <c r="K23" s="27"/>
      <c r="L23" s="27"/>
      <c r="M23" s="27">
        <f>+Comparison!K136</f>
        <v>0</v>
      </c>
      <c r="N23" s="27"/>
      <c r="O23" s="27">
        <f>SUM(C23:N23)</f>
        <v>328872</v>
      </c>
      <c r="P23" s="313">
        <f>ROUND(O23/O$39,4)</f>
        <v>1.1000000000000001E-3</v>
      </c>
      <c r="Q23" s="13"/>
      <c r="R23" s="29">
        <f>+Comparison!K137</f>
        <v>328872</v>
      </c>
      <c r="S23" s="25">
        <f>+R23-O23</f>
        <v>0</v>
      </c>
    </row>
    <row r="24" spans="1:19" s="9" customFormat="1" ht="9.9499999999999993" customHeight="1" x14ac:dyDescent="0.25">
      <c r="A24" s="363"/>
      <c r="B24" s="14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13"/>
      <c r="Q24" s="14"/>
      <c r="R24" s="14"/>
      <c r="S24" s="12"/>
    </row>
    <row r="25" spans="1:19" s="9" customFormat="1" ht="17.25" customHeight="1" x14ac:dyDescent="0.25">
      <c r="A25" s="365" t="s">
        <v>84</v>
      </c>
      <c r="B25" s="139" t="s">
        <v>83</v>
      </c>
      <c r="C25" s="27">
        <f>+Comparison!K98</f>
        <v>4928670</v>
      </c>
      <c r="D25" s="27"/>
      <c r="E25" s="27">
        <f>+Comparison!K99</f>
        <v>1676684</v>
      </c>
      <c r="F25" s="27"/>
      <c r="G25" s="27">
        <f>+Comparison!K100</f>
        <v>94233</v>
      </c>
      <c r="H25" s="27"/>
      <c r="I25" s="27">
        <f>+Comparison!K101</f>
        <v>756607</v>
      </c>
      <c r="J25" s="27"/>
      <c r="K25" s="27"/>
      <c r="L25" s="27"/>
      <c r="M25" s="27">
        <f>+Comparison!K102</f>
        <v>0</v>
      </c>
      <c r="N25" s="27"/>
      <c r="O25" s="27">
        <f>SUM(C25:N25)</f>
        <v>7456194</v>
      </c>
      <c r="P25" s="313">
        <f>ROUND(O25/O$39,4)</f>
        <v>2.4199999999999999E-2</v>
      </c>
      <c r="Q25" s="14"/>
      <c r="R25" s="24">
        <f>+Comparison!K103</f>
        <v>7456194</v>
      </c>
      <c r="S25" s="25">
        <f>+R25-O25</f>
        <v>0</v>
      </c>
    </row>
    <row r="26" spans="1:19" s="9" customFormat="1" ht="15.75" x14ac:dyDescent="0.25">
      <c r="A26" s="367"/>
      <c r="B26" s="14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13"/>
      <c r="Q26" s="14"/>
      <c r="R26" s="14"/>
      <c r="S26" s="12"/>
    </row>
    <row r="27" spans="1:19" s="9" customFormat="1" ht="31.5" x14ac:dyDescent="0.25">
      <c r="A27" s="365" t="s">
        <v>85</v>
      </c>
      <c r="B27" s="139" t="s">
        <v>122</v>
      </c>
      <c r="C27" s="27">
        <f>+Comparison!K108</f>
        <v>16267593</v>
      </c>
      <c r="D27" s="27"/>
      <c r="E27" s="27">
        <f>+Comparison!K109</f>
        <v>12475641</v>
      </c>
      <c r="F27" s="27"/>
      <c r="G27" s="27">
        <f>+Comparison!K110</f>
        <v>2253986</v>
      </c>
      <c r="H27" s="27"/>
      <c r="I27" s="27">
        <f>+Comparison!K111</f>
        <v>1171662</v>
      </c>
      <c r="J27" s="27"/>
      <c r="K27" s="27"/>
      <c r="L27" s="27"/>
      <c r="M27" s="27">
        <f>+Comparison!K112</f>
        <v>209768</v>
      </c>
      <c r="N27" s="27"/>
      <c r="O27" s="27">
        <f>SUM(C27:N27)</f>
        <v>32378650</v>
      </c>
      <c r="P27" s="313">
        <f>ROUND(O27/O$39,4)</f>
        <v>0.1053</v>
      </c>
      <c r="Q27" s="14"/>
      <c r="R27" s="24">
        <f>+Comparison!K113</f>
        <v>32378650</v>
      </c>
      <c r="S27" s="25">
        <f>+R27-O27</f>
        <v>0</v>
      </c>
    </row>
    <row r="28" spans="1:19" s="9" customFormat="1" ht="9.9499999999999993" customHeight="1" x14ac:dyDescent="0.25">
      <c r="A28" s="365"/>
      <c r="B28" s="13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13"/>
      <c r="Q28" s="14"/>
      <c r="R28" s="24"/>
      <c r="S28" s="25"/>
    </row>
    <row r="29" spans="1:19" s="9" customFormat="1" ht="31.5" x14ac:dyDescent="0.25">
      <c r="A29" s="363"/>
      <c r="B29" s="139" t="s">
        <v>99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13"/>
      <c r="Q29" s="14"/>
      <c r="R29" s="14"/>
      <c r="S29" s="12"/>
    </row>
    <row r="30" spans="1:19" x14ac:dyDescent="0.25">
      <c r="A30" s="365" t="s">
        <v>86</v>
      </c>
      <c r="B30" s="142" t="s">
        <v>87</v>
      </c>
      <c r="C30" s="26">
        <f>+Comparison!K116</f>
        <v>4788977</v>
      </c>
      <c r="D30" s="27"/>
      <c r="E30" s="26">
        <f>+Comparison!K117</f>
        <v>1309165</v>
      </c>
      <c r="F30" s="27"/>
      <c r="G30" s="26">
        <f>+Comparison!K118</f>
        <v>290640</v>
      </c>
      <c r="H30" s="27"/>
      <c r="I30" s="26">
        <f>+Comparison!K119</f>
        <v>80960</v>
      </c>
      <c r="J30" s="26"/>
      <c r="K30" s="27"/>
      <c r="L30" s="27"/>
      <c r="M30" s="27">
        <f>+Comparison!K120</f>
        <v>24624</v>
      </c>
      <c r="N30" s="27"/>
      <c r="O30" s="27">
        <f>SUM(C30:N30)</f>
        <v>6494366</v>
      </c>
      <c r="P30" s="313">
        <f>ROUND(O30/O$39,4)</f>
        <v>2.1100000000000001E-2</v>
      </c>
      <c r="Q30" s="13"/>
      <c r="R30" s="29">
        <f>+Comparison!K121</f>
        <v>6494366</v>
      </c>
      <c r="S30" s="25">
        <f>+R30-O30</f>
        <v>0</v>
      </c>
    </row>
    <row r="31" spans="1:19" x14ac:dyDescent="0.25">
      <c r="A31" s="365" t="s">
        <v>88</v>
      </c>
      <c r="B31" s="142" t="s">
        <v>89</v>
      </c>
      <c r="C31" s="26">
        <f>+Comparison!K124</f>
        <v>2661547</v>
      </c>
      <c r="D31" s="27"/>
      <c r="E31" s="26">
        <f>+Comparison!K125</f>
        <v>1685377</v>
      </c>
      <c r="F31" s="27"/>
      <c r="G31" s="27">
        <f>+Comparison!K126</f>
        <v>528377</v>
      </c>
      <c r="H31" s="27"/>
      <c r="I31" s="27">
        <f>+Comparison!K127</f>
        <v>56925</v>
      </c>
      <c r="J31" s="27"/>
      <c r="K31" s="27"/>
      <c r="L31" s="27"/>
      <c r="M31" s="27">
        <f>+Comparison!K128</f>
        <v>0</v>
      </c>
      <c r="N31" s="27"/>
      <c r="O31" s="27">
        <f>SUM(C31:N31)</f>
        <v>4932226</v>
      </c>
      <c r="P31" s="313">
        <f>ROUND(O31/O$39,4)</f>
        <v>1.6E-2</v>
      </c>
      <c r="Q31" s="13"/>
      <c r="R31" s="29">
        <f>+Comparison!K129</f>
        <v>4932226</v>
      </c>
      <c r="S31" s="25">
        <f>+R31-O31</f>
        <v>0</v>
      </c>
    </row>
    <row r="32" spans="1:19" ht="9.9499999999999993" hidden="1" customHeight="1" x14ac:dyDescent="0.25">
      <c r="A32" s="363"/>
      <c r="B32" s="14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313"/>
      <c r="Q32" s="13"/>
      <c r="R32" s="13"/>
    </row>
    <row r="33" spans="1:19" ht="15.75" hidden="1" x14ac:dyDescent="0.25">
      <c r="A33" s="365">
        <v>71</v>
      </c>
      <c r="B33" s="139" t="s">
        <v>91</v>
      </c>
      <c r="C33" s="27"/>
      <c r="D33" s="27"/>
      <c r="E33" s="27"/>
      <c r="F33" s="27"/>
      <c r="G33" s="27"/>
      <c r="H33" s="27"/>
      <c r="I33" s="27"/>
      <c r="J33" s="27"/>
      <c r="K33" s="27">
        <f>SUM(Comparison!K140)</f>
        <v>348136</v>
      </c>
      <c r="L33" s="27"/>
      <c r="M33" s="27"/>
      <c r="N33" s="27"/>
      <c r="O33" s="27">
        <f>SUM(C33:N33)</f>
        <v>348136</v>
      </c>
      <c r="P33" s="313">
        <f>ROUND(O33/O$39,4)</f>
        <v>1.1000000000000001E-3</v>
      </c>
      <c r="Q33" s="13"/>
      <c r="R33" s="13"/>
    </row>
    <row r="34" spans="1:19" ht="9.9499999999999993" customHeight="1" x14ac:dyDescent="0.25">
      <c r="A34" s="365"/>
      <c r="B34" s="13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13"/>
      <c r="Q34" s="13"/>
      <c r="R34" s="13"/>
    </row>
    <row r="35" spans="1:19" ht="15.75" x14ac:dyDescent="0.25">
      <c r="A35" s="365">
        <v>95</v>
      </c>
      <c r="B35" s="139" t="s">
        <v>98</v>
      </c>
      <c r="C35" s="26">
        <v>0</v>
      </c>
      <c r="D35" s="27"/>
      <c r="E35" s="26">
        <f>SUM(Comparison!K154)</f>
        <v>25000</v>
      </c>
      <c r="F35" s="27"/>
      <c r="G35" s="26">
        <v>0</v>
      </c>
      <c r="H35" s="27"/>
      <c r="I35" s="26">
        <v>0</v>
      </c>
      <c r="J35" s="26"/>
      <c r="K35" s="27"/>
      <c r="L35" s="27"/>
      <c r="M35" s="27">
        <v>0</v>
      </c>
      <c r="N35" s="27"/>
      <c r="O35" s="27">
        <f>SUM(C35:N35)</f>
        <v>25000</v>
      </c>
      <c r="P35" s="313">
        <f>ROUND(O35/O$39,4)</f>
        <v>1E-4</v>
      </c>
      <c r="Q35" s="13"/>
      <c r="R35" s="29">
        <f>+Comparison!K155</f>
        <v>25000</v>
      </c>
      <c r="S35" s="25">
        <f>+R35-O35</f>
        <v>0</v>
      </c>
    </row>
    <row r="36" spans="1:19" ht="9.9499999999999993" customHeight="1" x14ac:dyDescent="0.25">
      <c r="A36" s="365"/>
      <c r="B36" s="139"/>
      <c r="C36" s="26"/>
      <c r="D36" s="27"/>
      <c r="E36" s="26"/>
      <c r="F36" s="27"/>
      <c r="G36" s="26"/>
      <c r="H36" s="27"/>
      <c r="I36" s="26"/>
      <c r="J36" s="26"/>
      <c r="K36" s="27"/>
      <c r="L36" s="27"/>
      <c r="M36" s="27"/>
      <c r="N36" s="27"/>
      <c r="O36" s="27"/>
      <c r="P36" s="313"/>
      <c r="Q36" s="13"/>
      <c r="R36" s="29"/>
    </row>
    <row r="37" spans="1:19" ht="47.25" x14ac:dyDescent="0.25">
      <c r="A37" s="365">
        <v>99</v>
      </c>
      <c r="B37" s="139" t="s">
        <v>92</v>
      </c>
      <c r="C37" s="30">
        <v>0</v>
      </c>
      <c r="D37" s="27"/>
      <c r="E37" s="30">
        <f>+Comparison!K158</f>
        <v>1212824</v>
      </c>
      <c r="F37" s="27"/>
      <c r="G37" s="30">
        <v>0</v>
      </c>
      <c r="H37" s="27"/>
      <c r="I37" s="30">
        <v>0</v>
      </c>
      <c r="J37" s="26"/>
      <c r="K37" s="31">
        <v>0</v>
      </c>
      <c r="L37" s="27"/>
      <c r="M37" s="31">
        <v>0</v>
      </c>
      <c r="N37" s="27"/>
      <c r="O37" s="31">
        <f>SUM(C37:N37)</f>
        <v>1212824</v>
      </c>
      <c r="P37" s="313">
        <f>ROUND(O37/O$39,4)</f>
        <v>3.8999999999999998E-3</v>
      </c>
      <c r="Q37" s="13"/>
      <c r="R37" s="29">
        <f>+Comparison!K159</f>
        <v>1212824</v>
      </c>
      <c r="S37" s="25">
        <f>+R37-O37</f>
        <v>0</v>
      </c>
    </row>
    <row r="38" spans="1:19" ht="9.9499999999999993" customHeight="1" x14ac:dyDescent="0.25">
      <c r="A38" s="365"/>
      <c r="B38" s="139"/>
      <c r="C38" s="23"/>
      <c r="D38" s="32"/>
      <c r="E38" s="23"/>
      <c r="F38" s="32"/>
      <c r="G38" s="23"/>
      <c r="H38" s="32"/>
      <c r="I38" s="23"/>
      <c r="J38" s="23"/>
      <c r="K38" s="13"/>
      <c r="L38" s="32"/>
      <c r="M38" s="23"/>
      <c r="N38" s="32"/>
      <c r="O38" s="27"/>
      <c r="P38" s="313"/>
      <c r="Q38" s="13"/>
      <c r="R38" s="13"/>
    </row>
    <row r="39" spans="1:19" ht="31.5" x14ac:dyDescent="0.25">
      <c r="A39" s="365"/>
      <c r="B39" s="139" t="s">
        <v>35</v>
      </c>
      <c r="C39" s="33">
        <f>SUM(C10:C38)</f>
        <v>261511154</v>
      </c>
      <c r="D39" s="34"/>
      <c r="E39" s="33">
        <f>SUM(E10:E38)</f>
        <v>22726522</v>
      </c>
      <c r="F39" s="34"/>
      <c r="G39" s="33">
        <f>SUM(G10:G38)</f>
        <v>16274536</v>
      </c>
      <c r="H39" s="34"/>
      <c r="I39" s="33">
        <f>SUM(I10:I38)</f>
        <v>5325878</v>
      </c>
      <c r="J39" s="35"/>
      <c r="K39" s="149">
        <f>SUM(K10:K35)</f>
        <v>348136</v>
      </c>
      <c r="L39" s="34"/>
      <c r="M39" s="33">
        <f>SUM(M10:M38)</f>
        <v>1405462</v>
      </c>
      <c r="N39" s="34"/>
      <c r="O39" s="33">
        <f>SUM(C39:N39)</f>
        <v>307591688</v>
      </c>
      <c r="P39" s="313">
        <f>SUM(P10:P38)</f>
        <v>0.99990000000000023</v>
      </c>
      <c r="Q39" s="13"/>
      <c r="R39" s="13"/>
    </row>
    <row r="40" spans="1:19" ht="15.75" x14ac:dyDescent="0.25">
      <c r="A40" s="365"/>
      <c r="B40" s="139"/>
      <c r="C40" s="36"/>
      <c r="D40" s="37"/>
      <c r="E40" s="36"/>
      <c r="F40" s="37"/>
      <c r="G40" s="36"/>
      <c r="H40" s="37"/>
      <c r="I40" s="36"/>
      <c r="J40" s="36"/>
      <c r="K40" s="36"/>
      <c r="L40" s="37"/>
      <c r="M40" s="36"/>
      <c r="N40" s="37"/>
      <c r="O40" s="36"/>
      <c r="P40" s="313"/>
      <c r="Q40" s="13"/>
      <c r="R40" s="13"/>
    </row>
    <row r="41" spans="1:19" ht="15.75" x14ac:dyDescent="0.25">
      <c r="A41" s="365"/>
      <c r="B41" s="139" t="s">
        <v>93</v>
      </c>
      <c r="C41" s="307">
        <f>ROUND(+C39/$O$39,4)</f>
        <v>0.85019999999999996</v>
      </c>
      <c r="D41" s="308"/>
      <c r="E41" s="307">
        <f>ROUND(+E39/$O$39,4)</f>
        <v>7.3899999999999993E-2</v>
      </c>
      <c r="F41" s="308"/>
      <c r="G41" s="307">
        <f>ROUND(+G39/$O$39,4)</f>
        <v>5.2900000000000003E-2</v>
      </c>
      <c r="H41" s="308"/>
      <c r="I41" s="307">
        <f>ROUND(+I39/$O$39,4)</f>
        <v>1.7299999999999999E-2</v>
      </c>
      <c r="J41" s="307"/>
      <c r="K41" s="307">
        <f>ROUND(+K39/$O$39,4)</f>
        <v>1.1000000000000001E-3</v>
      </c>
      <c r="L41" s="308"/>
      <c r="M41" s="307">
        <f>ROUND(+M39/$O$39,4)</f>
        <v>4.5999999999999999E-3</v>
      </c>
      <c r="N41" s="308"/>
      <c r="O41" s="307">
        <f>SUM(C41:M41)</f>
        <v>0.99999999999999989</v>
      </c>
      <c r="P41" s="313"/>
      <c r="Q41" s="13"/>
      <c r="R41" s="13"/>
    </row>
    <row r="42" spans="1:19" ht="15.75" x14ac:dyDescent="0.25">
      <c r="A42" s="365"/>
      <c r="B42" s="145"/>
      <c r="C42" s="38"/>
      <c r="D42" s="39"/>
      <c r="E42" s="38"/>
      <c r="F42" s="39"/>
      <c r="G42" s="38"/>
      <c r="H42" s="39"/>
      <c r="I42" s="38"/>
      <c r="J42" s="150"/>
      <c r="K42" s="14"/>
      <c r="L42" s="39"/>
      <c r="M42" s="38"/>
      <c r="N42" s="39"/>
      <c r="O42" s="38"/>
      <c r="P42" s="313"/>
      <c r="Q42" s="13"/>
      <c r="R42" s="13"/>
    </row>
    <row r="43" spans="1:19" hidden="1" x14ac:dyDescent="0.25">
      <c r="A43" s="363"/>
      <c r="B43" s="142"/>
      <c r="C43" s="40"/>
      <c r="D43" s="32"/>
      <c r="E43" s="40"/>
      <c r="F43" s="32"/>
      <c r="G43" s="32"/>
      <c r="H43" s="32"/>
      <c r="I43" s="32"/>
      <c r="J43" s="151"/>
      <c r="K43" s="13"/>
      <c r="L43" s="32"/>
      <c r="M43" s="32"/>
      <c r="N43" s="32"/>
      <c r="O43" s="32"/>
      <c r="P43" s="313"/>
      <c r="Q43" s="13"/>
      <c r="R43" s="13"/>
    </row>
    <row r="44" spans="1:19" ht="9" hidden="1" customHeight="1" x14ac:dyDescent="0.25">
      <c r="A44" s="363"/>
      <c r="B44" s="142"/>
      <c r="C44" s="41"/>
      <c r="D44" s="22"/>
      <c r="E44" s="41"/>
      <c r="F44" s="22"/>
      <c r="G44" s="42"/>
      <c r="H44" s="22"/>
      <c r="I44" s="42"/>
      <c r="J44" s="152"/>
      <c r="K44" s="42"/>
      <c r="L44" s="22"/>
      <c r="M44" s="42"/>
      <c r="N44" s="22"/>
      <c r="O44" s="42"/>
      <c r="P44" s="313"/>
      <c r="Q44" s="13"/>
      <c r="R44" s="13"/>
    </row>
    <row r="45" spans="1:19" ht="16.5" hidden="1" thickBot="1" x14ac:dyDescent="0.3">
      <c r="A45" s="368"/>
      <c r="B45" s="148" t="s">
        <v>94</v>
      </c>
      <c r="C45" s="44">
        <f>+C39</f>
        <v>261511154</v>
      </c>
      <c r="D45" s="45"/>
      <c r="E45" s="44">
        <f>+E39</f>
        <v>22726522</v>
      </c>
      <c r="F45" s="45"/>
      <c r="G45" s="44">
        <f>+G39</f>
        <v>16274536</v>
      </c>
      <c r="H45" s="45"/>
      <c r="I45" s="44">
        <f>+I39</f>
        <v>5325878</v>
      </c>
      <c r="J45" s="153"/>
      <c r="K45" s="44">
        <f>+K39</f>
        <v>348136</v>
      </c>
      <c r="L45" s="45"/>
      <c r="M45" s="44">
        <f>+M39</f>
        <v>1405462</v>
      </c>
      <c r="N45" s="45"/>
      <c r="O45" s="44">
        <f>+O39</f>
        <v>307591688</v>
      </c>
      <c r="P45" s="314"/>
      <c r="Q45" s="17"/>
      <c r="R45" s="47">
        <f>SUM(R10:R43)</f>
        <v>307243552</v>
      </c>
      <c r="S45" s="47">
        <f>SUM(S10:S43)</f>
        <v>0</v>
      </c>
    </row>
    <row r="46" spans="1:19" ht="15.75" hidden="1" thickTop="1" x14ac:dyDescent="0.25">
      <c r="J46" s="154"/>
    </row>
    <row r="47" spans="1:19" hidden="1" x14ac:dyDescent="0.25">
      <c r="J47" s="154"/>
    </row>
  </sheetData>
  <mergeCells count="3">
    <mergeCell ref="B1:P1"/>
    <mergeCell ref="B2:P2"/>
    <mergeCell ref="B3:P3"/>
  </mergeCells>
  <phoneticPr fontId="5" type="noConversion"/>
  <pageMargins left="0.25" right="0.25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B1" workbookViewId="0">
      <selection activeCell="A3" sqref="A3:O3"/>
    </sheetView>
  </sheetViews>
  <sheetFormatPr defaultRowHeight="15" x14ac:dyDescent="0.25"/>
  <cols>
    <col min="1" max="1" width="3.28515625" hidden="1" customWidth="1"/>
    <col min="2" max="2" width="23.140625" style="203" customWidth="1"/>
    <col min="3" max="3" width="14" hidden="1" customWidth="1"/>
    <col min="4" max="4" width="2.28515625" customWidth="1"/>
    <col min="5" max="5" width="12.28515625" bestFit="1" customWidth="1"/>
    <col min="6" max="6" width="2.28515625" customWidth="1"/>
    <col min="7" max="7" width="12.7109375" bestFit="1" customWidth="1"/>
    <col min="8" max="8" width="2.28515625" customWidth="1"/>
    <col min="9" max="9" width="13.5703125" bestFit="1" customWidth="1"/>
    <col min="10" max="10" width="2.28515625" customWidth="1"/>
    <col min="11" max="11" width="12.7109375" bestFit="1" customWidth="1"/>
    <col min="12" max="12" width="2.28515625" customWidth="1"/>
    <col min="13" max="13" width="12.28515625" bestFit="1" customWidth="1"/>
    <col min="14" max="14" width="2.28515625" customWidth="1"/>
    <col min="15" max="15" width="13.7109375" customWidth="1"/>
    <col min="16" max="16" width="12.5703125" bestFit="1" customWidth="1"/>
    <col min="17" max="17" width="12.5703125" style="354" bestFit="1" customWidth="1"/>
    <col min="18" max="20" width="9.140625" style="354"/>
  </cols>
  <sheetData>
    <row r="1" spans="1:20" ht="15.75" x14ac:dyDescent="0.25">
      <c r="A1" s="155" t="s">
        <v>4</v>
      </c>
      <c r="B1" s="156" t="s">
        <v>4</v>
      </c>
      <c r="C1" s="155"/>
      <c r="D1" s="157"/>
      <c r="E1" s="155"/>
      <c r="F1" s="158"/>
      <c r="G1" s="155"/>
      <c r="H1" s="155"/>
      <c r="I1" s="155"/>
      <c r="J1" s="157"/>
      <c r="K1" s="155"/>
      <c r="L1" s="157"/>
      <c r="M1" s="155"/>
      <c r="N1" s="157"/>
      <c r="O1" s="155"/>
    </row>
    <row r="2" spans="1:20" ht="15.75" x14ac:dyDescent="0.25">
      <c r="A2" s="371" t="s">
        <v>101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</row>
    <row r="3" spans="1:20" ht="15.75" x14ac:dyDescent="0.25">
      <c r="A3" s="371" t="s">
        <v>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</row>
    <row r="4" spans="1:20" ht="15.75" x14ac:dyDescent="0.25">
      <c r="A4" s="375" t="s">
        <v>229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</row>
    <row r="5" spans="1:20" ht="15.75" x14ac:dyDescent="0.25">
      <c r="A5" s="372" t="s">
        <v>285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</row>
    <row r="6" spans="1:20" ht="15.75" x14ac:dyDescent="0.25">
      <c r="A6" s="162"/>
      <c r="B6" s="163"/>
      <c r="C6" s="164"/>
      <c r="D6" s="165"/>
      <c r="E6" s="164"/>
      <c r="F6" s="166"/>
      <c r="G6" s="164"/>
      <c r="H6" s="155"/>
      <c r="I6" s="155"/>
      <c r="J6" s="165"/>
      <c r="K6" s="155"/>
      <c r="L6" s="165"/>
      <c r="M6" s="155"/>
      <c r="N6" s="165"/>
      <c r="O6" s="155"/>
    </row>
    <row r="7" spans="1:20" ht="15.75" x14ac:dyDescent="0.25">
      <c r="A7" s="161"/>
      <c r="B7" s="167"/>
      <c r="C7" s="168" t="s">
        <v>144</v>
      </c>
      <c r="D7" s="160"/>
      <c r="E7" s="159">
        <v>21</v>
      </c>
      <c r="F7" s="169"/>
      <c r="G7" s="159">
        <v>22</v>
      </c>
      <c r="H7" s="170"/>
      <c r="I7" s="170">
        <v>23</v>
      </c>
      <c r="J7" s="160"/>
      <c r="K7" s="170" t="s">
        <v>160</v>
      </c>
      <c r="L7" s="160"/>
      <c r="M7" s="170">
        <v>25</v>
      </c>
      <c r="N7" s="160"/>
      <c r="O7" s="170">
        <v>31</v>
      </c>
    </row>
    <row r="8" spans="1:20" ht="31.5" x14ac:dyDescent="0.25">
      <c r="A8" s="167"/>
      <c r="B8" s="167"/>
      <c r="C8" s="171" t="s">
        <v>145</v>
      </c>
      <c r="D8" s="172"/>
      <c r="E8" s="171" t="s">
        <v>146</v>
      </c>
      <c r="F8" s="173"/>
      <c r="G8" s="171" t="s">
        <v>147</v>
      </c>
      <c r="H8" s="174"/>
      <c r="I8" s="175" t="s">
        <v>148</v>
      </c>
      <c r="J8" s="172"/>
      <c r="K8" s="175" t="s">
        <v>149</v>
      </c>
      <c r="L8" s="172"/>
      <c r="M8" s="175" t="s">
        <v>150</v>
      </c>
      <c r="N8" s="172"/>
      <c r="O8" s="175" t="s">
        <v>151</v>
      </c>
      <c r="R8" s="354">
        <v>21</v>
      </c>
      <c r="S8" s="354">
        <v>22</v>
      </c>
      <c r="T8" s="354">
        <v>25</v>
      </c>
    </row>
    <row r="9" spans="1:20" ht="31.5" x14ac:dyDescent="0.25">
      <c r="A9" s="176"/>
      <c r="B9" s="177" t="s">
        <v>152</v>
      </c>
      <c r="C9" s="178"/>
      <c r="D9" s="179"/>
      <c r="E9" s="178">
        <v>1108480</v>
      </c>
      <c r="F9" s="179"/>
      <c r="G9" s="178">
        <v>14538577</v>
      </c>
      <c r="H9" s="180"/>
      <c r="I9" s="180">
        <v>19014155</v>
      </c>
      <c r="J9" s="179"/>
      <c r="K9" s="180">
        <v>15634839</v>
      </c>
      <c r="L9" s="179"/>
      <c r="M9" s="180">
        <v>1760143</v>
      </c>
      <c r="N9" s="179"/>
      <c r="O9" s="180">
        <v>3074500</v>
      </c>
      <c r="Q9" s="354" t="s">
        <v>280</v>
      </c>
      <c r="R9" s="354">
        <v>70610</v>
      </c>
      <c r="T9" s="354">
        <v>16740</v>
      </c>
    </row>
    <row r="10" spans="1:20" ht="15.75" x14ac:dyDescent="0.25">
      <c r="A10" s="181"/>
      <c r="B10" s="182" t="s">
        <v>153</v>
      </c>
      <c r="C10" s="183"/>
      <c r="D10" s="184"/>
      <c r="E10" s="198">
        <v>0.55000000000000004</v>
      </c>
      <c r="F10" s="183"/>
      <c r="G10" s="198">
        <v>0.57999999999999996</v>
      </c>
      <c r="H10" s="185"/>
      <c r="I10" s="199">
        <v>0.52</v>
      </c>
      <c r="J10" s="183"/>
      <c r="K10" s="199">
        <v>0.52</v>
      </c>
      <c r="L10" s="183"/>
      <c r="M10" s="199">
        <v>0.52</v>
      </c>
      <c r="N10" s="183"/>
      <c r="O10" s="199">
        <v>1</v>
      </c>
      <c r="Q10" s="354" t="s">
        <v>281</v>
      </c>
      <c r="R10" s="354">
        <v>65165</v>
      </c>
      <c r="T10" s="354">
        <v>18288</v>
      </c>
    </row>
    <row r="11" spans="1:20" s="209" customFormat="1" ht="16.5" thickBot="1" x14ac:dyDescent="0.3">
      <c r="A11" s="204"/>
      <c r="B11" s="205" t="s">
        <v>154</v>
      </c>
      <c r="C11" s="206"/>
      <c r="D11" s="166"/>
      <c r="E11" s="206">
        <f>SUM(E9*E10)</f>
        <v>609664</v>
      </c>
      <c r="F11" s="207"/>
      <c r="G11" s="206">
        <f>SUM(G9*G10)</f>
        <v>8432374.6600000001</v>
      </c>
      <c r="H11" s="208"/>
      <c r="I11" s="206">
        <f>SUM(I9*I10)</f>
        <v>9887360.5999999996</v>
      </c>
      <c r="J11" s="207"/>
      <c r="K11" s="206">
        <f>SUM(K9*K10)</f>
        <v>8130116.2800000003</v>
      </c>
      <c r="L11" s="207"/>
      <c r="M11" s="206">
        <f>SUM(M9*M10)</f>
        <v>915274.36</v>
      </c>
      <c r="N11" s="207"/>
      <c r="O11" s="206">
        <f>SUM(O9*O10)</f>
        <v>3074500</v>
      </c>
      <c r="Q11" s="354" t="s">
        <v>283</v>
      </c>
      <c r="R11" s="354"/>
      <c r="S11" s="354">
        <v>29740</v>
      </c>
      <c r="T11" s="354">
        <v>19084</v>
      </c>
    </row>
    <row r="12" spans="1:20" ht="16.5" thickTop="1" x14ac:dyDescent="0.25">
      <c r="A12" s="186"/>
      <c r="B12" s="187"/>
      <c r="C12" s="188"/>
      <c r="D12" s="188"/>
      <c r="E12" s="188"/>
      <c r="F12" s="186"/>
      <c r="G12" s="188"/>
      <c r="H12" s="188"/>
      <c r="I12" s="188"/>
      <c r="J12" s="188"/>
      <c r="K12" s="186"/>
      <c r="L12" s="188"/>
      <c r="M12" s="186"/>
      <c r="N12" s="188"/>
      <c r="O12" s="186"/>
      <c r="Q12" s="354" t="s">
        <v>282</v>
      </c>
      <c r="S12" s="354">
        <v>71965</v>
      </c>
      <c r="T12" s="354">
        <v>16740</v>
      </c>
    </row>
    <row r="13" spans="1:20" ht="31.5" x14ac:dyDescent="0.25">
      <c r="A13" s="186"/>
      <c r="B13" s="187" t="s">
        <v>155</v>
      </c>
      <c r="C13" s="189">
        <f>SUM(135250925+5503648)-S43-R43-600000</f>
        <v>137972152.44999999</v>
      </c>
      <c r="D13" s="189"/>
      <c r="E13" s="189">
        <f>369776+R43</f>
        <v>625394.55000000005</v>
      </c>
      <c r="F13" s="189"/>
      <c r="G13" s="189">
        <f>5947737+S43+600000</f>
        <v>8474539</v>
      </c>
      <c r="H13" s="189"/>
      <c r="I13" s="189">
        <v>30909859</v>
      </c>
      <c r="J13" s="189"/>
      <c r="K13" s="189">
        <f>4915183+1200171+1161384+26325+200+1647352+669934-T43</f>
        <v>9468722.5500000007</v>
      </c>
      <c r="L13" s="189"/>
      <c r="M13" s="189">
        <f>445261+355350+T41</f>
        <v>932634</v>
      </c>
      <c r="N13" s="189"/>
      <c r="O13" s="189">
        <v>3349101</v>
      </c>
      <c r="P13" s="346">
        <f>SUM(C13:O13)</f>
        <v>191732402.55000001</v>
      </c>
      <c r="Q13" s="354" t="s">
        <v>284</v>
      </c>
      <c r="R13" s="354">
        <v>86502</v>
      </c>
      <c r="S13" s="354">
        <v>56496</v>
      </c>
      <c r="T13" s="354">
        <v>18554</v>
      </c>
    </row>
    <row r="14" spans="1:20" ht="31.5" hidden="1" x14ac:dyDescent="0.25">
      <c r="A14" s="186"/>
      <c r="B14" s="187" t="s">
        <v>157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</row>
    <row r="15" spans="1:20" s="354" customFormat="1" ht="31.5" x14ac:dyDescent="0.25">
      <c r="A15" s="186"/>
      <c r="B15" s="187" t="s">
        <v>277</v>
      </c>
      <c r="C15" s="191" t="s">
        <v>4</v>
      </c>
      <c r="D15" s="191"/>
      <c r="E15" s="355">
        <f>SUM(E13-E11)</f>
        <v>15730.550000000047</v>
      </c>
      <c r="F15" s="356"/>
      <c r="G15" s="355">
        <f>SUM(G13-G11)</f>
        <v>42164.339999999851</v>
      </c>
      <c r="H15" s="355"/>
      <c r="I15" s="355">
        <f>SUM(I13-I11)</f>
        <v>21022498.399999999</v>
      </c>
      <c r="J15" s="355"/>
      <c r="K15" s="355">
        <f>SUM(K13-K11)</f>
        <v>1338606.2700000005</v>
      </c>
      <c r="L15" s="355"/>
      <c r="M15" s="355">
        <f>SUM(M13-M11)</f>
        <v>17359.640000000014</v>
      </c>
      <c r="N15" s="355"/>
      <c r="O15" s="355">
        <f>SUM(O13-O11)</f>
        <v>274601</v>
      </c>
      <c r="S15" s="354">
        <v>51386</v>
      </c>
      <c r="T15" s="354">
        <v>16740</v>
      </c>
    </row>
    <row r="16" spans="1:20" s="209" customFormat="1" ht="48" thickBot="1" x14ac:dyDescent="0.3">
      <c r="A16" s="348"/>
      <c r="B16" s="349" t="s">
        <v>278</v>
      </c>
      <c r="C16" s="348"/>
      <c r="D16" s="348"/>
      <c r="E16" s="350" t="s">
        <v>159</v>
      </c>
      <c r="F16" s="351"/>
      <c r="G16" s="350" t="s">
        <v>159</v>
      </c>
      <c r="H16" s="351"/>
      <c r="I16" s="350" t="s">
        <v>159</v>
      </c>
      <c r="J16" s="351"/>
      <c r="K16" s="350" t="s">
        <v>159</v>
      </c>
      <c r="L16" s="351"/>
      <c r="M16" s="350" t="s">
        <v>159</v>
      </c>
      <c r="N16" s="351"/>
      <c r="O16" s="350" t="s">
        <v>159</v>
      </c>
      <c r="Q16" s="354" t="s">
        <v>4</v>
      </c>
      <c r="R16" s="354"/>
      <c r="S16" s="354">
        <v>46870</v>
      </c>
      <c r="T16" s="354">
        <v>25877</v>
      </c>
    </row>
    <row r="17" spans="1:20" s="209" customFormat="1" ht="16.5" thickTop="1" x14ac:dyDescent="0.25">
      <c r="A17" s="348"/>
      <c r="B17" s="349"/>
      <c r="C17" s="348"/>
      <c r="D17" s="348"/>
      <c r="E17" s="357"/>
      <c r="F17" s="351"/>
      <c r="G17" s="357"/>
      <c r="H17" s="351"/>
      <c r="I17" s="357"/>
      <c r="J17" s="351"/>
      <c r="K17" s="357"/>
      <c r="L17" s="351"/>
      <c r="M17" s="357"/>
      <c r="N17" s="351"/>
      <c r="O17" s="357"/>
      <c r="Q17" s="354"/>
      <c r="R17" s="354"/>
      <c r="S17" s="354">
        <v>63104</v>
      </c>
      <c r="T17" s="354"/>
    </row>
    <row r="18" spans="1:20" s="253" customFormat="1" ht="15.75" x14ac:dyDescent="0.25">
      <c r="A18" s="193"/>
      <c r="B18" s="194"/>
      <c r="C18" s="193"/>
      <c r="D18" s="193"/>
      <c r="E18" s="347"/>
      <c r="F18" s="195"/>
      <c r="G18" s="347"/>
      <c r="H18" s="195"/>
      <c r="I18" s="347"/>
      <c r="J18" s="195"/>
      <c r="K18" s="347"/>
      <c r="L18" s="195"/>
      <c r="M18" s="347"/>
      <c r="N18" s="195"/>
      <c r="O18" s="347"/>
      <c r="Q18" s="354" t="s">
        <v>4</v>
      </c>
      <c r="R18" s="354"/>
      <c r="S18" s="354">
        <v>70843</v>
      </c>
      <c r="T18" s="354"/>
    </row>
    <row r="19" spans="1:20" ht="31.5" x14ac:dyDescent="0.25">
      <c r="A19" s="190"/>
      <c r="B19" s="187" t="s">
        <v>156</v>
      </c>
      <c r="C19" s="200">
        <f>SUM(98794774*(C13/191752206))</f>
        <v>71086158.036644936</v>
      </c>
      <c r="D19" s="191"/>
      <c r="E19" s="200">
        <f>SUM(98794774*(E13/191752206))</f>
        <v>322216.44025353069</v>
      </c>
      <c r="F19" s="192"/>
      <c r="G19" s="200">
        <f>SUM(98794774*(G13/191752206))</f>
        <v>4366260.9297917858</v>
      </c>
      <c r="H19" s="191"/>
      <c r="I19" s="200">
        <f>SUM(98794774*(I13/191752206))</f>
        <v>15925410.184208602</v>
      </c>
      <c r="J19" s="191"/>
      <c r="K19" s="200">
        <f>SUM(98794774*(K13/191752206))</f>
        <v>4878485.227940239</v>
      </c>
      <c r="L19" s="191"/>
      <c r="M19" s="200">
        <f>SUM(98794774*(M13/191752206))</f>
        <v>480512.67402220133</v>
      </c>
      <c r="N19" s="191"/>
      <c r="O19" s="200">
        <f>SUM(98794774*(O13/191752206))</f>
        <v>1725527.3527240362</v>
      </c>
      <c r="Q19" s="354" t="s">
        <v>4</v>
      </c>
      <c r="S19" s="354">
        <v>59819</v>
      </c>
    </row>
    <row r="20" spans="1:20" s="354" customFormat="1" ht="31.5" x14ac:dyDescent="0.25">
      <c r="A20" s="186"/>
      <c r="B20" s="187" t="s">
        <v>279</v>
      </c>
      <c r="C20" s="352">
        <f>SUM(C13+C19)</f>
        <v>209058310.48664492</v>
      </c>
      <c r="D20" s="192"/>
      <c r="E20" s="353">
        <f>SUM(E13+E19)</f>
        <v>947610.99025353068</v>
      </c>
      <c r="F20" s="192"/>
      <c r="G20" s="353">
        <f>SUM(G13+G19)</f>
        <v>12840799.929791786</v>
      </c>
      <c r="H20" s="192"/>
      <c r="I20" s="353">
        <f>SUM(I13+I19)</f>
        <v>46835269.184208602</v>
      </c>
      <c r="J20" s="192"/>
      <c r="K20" s="353">
        <f>SUM(K13+K19)</f>
        <v>14347207.77794024</v>
      </c>
      <c r="L20" s="192"/>
      <c r="M20" s="353">
        <f>SUM(M13+M19)</f>
        <v>1413146.6740222014</v>
      </c>
      <c r="N20" s="192"/>
      <c r="O20" s="353">
        <f>SUM(O13+O19)</f>
        <v>5074628.3527240362</v>
      </c>
      <c r="Q20" s="354" t="s">
        <v>4</v>
      </c>
      <c r="S20" s="354">
        <v>58319</v>
      </c>
    </row>
    <row r="21" spans="1:20" s="354" customFormat="1" ht="31.5" x14ac:dyDescent="0.25">
      <c r="A21" s="186"/>
      <c r="B21" s="187" t="s">
        <v>158</v>
      </c>
      <c r="C21" s="191" t="s">
        <v>4</v>
      </c>
      <c r="D21" s="191"/>
      <c r="E21" s="355">
        <f>SUM(-E11+E20)</f>
        <v>337946.99025353068</v>
      </c>
      <c r="F21" s="356"/>
      <c r="G21" s="355">
        <f>SUM(-G11+G20)</f>
        <v>4408425.2697917856</v>
      </c>
      <c r="H21" s="355"/>
      <c r="I21" s="355">
        <f>SUM(-I11+I20)</f>
        <v>36947908.5842086</v>
      </c>
      <c r="J21" s="355"/>
      <c r="K21" s="355">
        <f>SUM(-K11+K20)</f>
        <v>6217091.4979402395</v>
      </c>
      <c r="L21" s="355"/>
      <c r="M21" s="355">
        <f>SUM(-M11+M20)</f>
        <v>497872.31402220146</v>
      </c>
      <c r="N21" s="355"/>
      <c r="O21" s="355">
        <f>SUM(-O11+O20)</f>
        <v>2000128.3527240362</v>
      </c>
      <c r="S21" s="354">
        <v>56046</v>
      </c>
    </row>
    <row r="22" spans="1:20" s="209" customFormat="1" ht="48" thickBot="1" x14ac:dyDescent="0.3">
      <c r="A22" s="348"/>
      <c r="B22" s="349" t="s">
        <v>161</v>
      </c>
      <c r="C22" s="348"/>
      <c r="D22" s="348"/>
      <c r="E22" s="350" t="s">
        <v>159</v>
      </c>
      <c r="F22" s="351"/>
      <c r="G22" s="350" t="s">
        <v>159</v>
      </c>
      <c r="H22" s="351"/>
      <c r="I22" s="350" t="s">
        <v>159</v>
      </c>
      <c r="J22" s="351"/>
      <c r="K22" s="350" t="s">
        <v>159</v>
      </c>
      <c r="L22" s="351"/>
      <c r="M22" s="350" t="s">
        <v>159</v>
      </c>
      <c r="N22" s="351"/>
      <c r="O22" s="350" t="s">
        <v>159</v>
      </c>
      <c r="Q22" s="354"/>
      <c r="R22" s="354"/>
      <c r="S22" s="354">
        <v>54774</v>
      </c>
      <c r="T22" s="354"/>
    </row>
    <row r="23" spans="1:20" ht="16.5" thickTop="1" x14ac:dyDescent="0.25">
      <c r="A23" s="155"/>
      <c r="B23" s="156"/>
      <c r="C23" s="157"/>
      <c r="D23" s="157"/>
      <c r="E23" s="157"/>
      <c r="F23" s="158"/>
      <c r="G23" s="155"/>
      <c r="H23" s="155"/>
      <c r="I23" s="155"/>
      <c r="J23" s="157"/>
      <c r="K23" s="155"/>
      <c r="L23" s="157"/>
      <c r="M23" s="155"/>
      <c r="N23" s="157"/>
      <c r="O23" s="155"/>
      <c r="S23" s="354">
        <v>64272</v>
      </c>
    </row>
    <row r="24" spans="1:20" x14ac:dyDescent="0.25">
      <c r="S24" s="354">
        <v>62524</v>
      </c>
    </row>
    <row r="25" spans="1:20" ht="15.75" x14ac:dyDescent="0.25">
      <c r="A25" s="155"/>
      <c r="B25" s="156"/>
      <c r="C25" s="157"/>
      <c r="D25" s="157"/>
      <c r="E25" s="157"/>
      <c r="F25" s="158"/>
      <c r="G25" s="157"/>
      <c r="H25" s="157"/>
      <c r="I25" s="157"/>
      <c r="J25" s="157"/>
      <c r="K25" s="157"/>
      <c r="L25" s="157"/>
      <c r="M25" s="155"/>
      <c r="N25" s="157"/>
      <c r="O25" s="157"/>
      <c r="S25" s="354">
        <v>62524</v>
      </c>
    </row>
    <row r="26" spans="1:20" ht="15.75" x14ac:dyDescent="0.25">
      <c r="A26" s="155"/>
      <c r="B26" s="156"/>
      <c r="C26" s="155"/>
      <c r="D26" s="157"/>
      <c r="E26" s="155"/>
      <c r="F26" s="158"/>
      <c r="G26" s="196"/>
      <c r="H26" s="196"/>
      <c r="I26" s="196"/>
      <c r="J26" s="197"/>
      <c r="K26" s="196"/>
      <c r="L26" s="157"/>
      <c r="M26" s="155"/>
      <c r="N26" s="157"/>
      <c r="O26" s="155"/>
      <c r="S26" s="354">
        <v>31842</v>
      </c>
    </row>
    <row r="27" spans="1:20" x14ac:dyDescent="0.25">
      <c r="S27" s="354">
        <v>57677</v>
      </c>
    </row>
    <row r="28" spans="1:20" x14ac:dyDescent="0.25">
      <c r="S28" s="354">
        <v>67215</v>
      </c>
    </row>
    <row r="29" spans="1:20" x14ac:dyDescent="0.25">
      <c r="S29" s="354">
        <v>56496</v>
      </c>
    </row>
    <row r="30" spans="1:20" x14ac:dyDescent="0.25">
      <c r="S30" s="354">
        <v>58961</v>
      </c>
    </row>
    <row r="31" spans="1:20" x14ac:dyDescent="0.25">
      <c r="S31" s="354">
        <v>60105</v>
      </c>
    </row>
    <row r="32" spans="1:20" x14ac:dyDescent="0.25">
      <c r="S32" s="354">
        <v>60105</v>
      </c>
    </row>
    <row r="33" spans="18:20" x14ac:dyDescent="0.25">
      <c r="S33" s="354">
        <v>60105</v>
      </c>
    </row>
    <row r="34" spans="18:20" x14ac:dyDescent="0.25">
      <c r="S34" s="354">
        <v>60105</v>
      </c>
    </row>
    <row r="35" spans="18:20" x14ac:dyDescent="0.25">
      <c r="S35" s="354">
        <v>60105</v>
      </c>
    </row>
    <row r="36" spans="18:20" x14ac:dyDescent="0.25">
      <c r="S36" s="354">
        <v>58640</v>
      </c>
    </row>
    <row r="37" spans="18:20" x14ac:dyDescent="0.25">
      <c r="S37" s="354">
        <v>56496</v>
      </c>
    </row>
    <row r="38" spans="18:20" x14ac:dyDescent="0.25">
      <c r="S38" s="354">
        <v>61666</v>
      </c>
    </row>
    <row r="39" spans="18:20" x14ac:dyDescent="0.25">
      <c r="S39" s="354">
        <v>58319</v>
      </c>
    </row>
    <row r="40" spans="18:20" x14ac:dyDescent="0.25">
      <c r="S40" s="354">
        <v>58961</v>
      </c>
    </row>
    <row r="41" spans="18:20" x14ac:dyDescent="0.25">
      <c r="R41" s="354">
        <f>SUM(R9:R40)</f>
        <v>222277</v>
      </c>
      <c r="S41" s="354">
        <f>SUM(S9:S40)</f>
        <v>1675480</v>
      </c>
      <c r="T41" s="354">
        <f>SUM(T9:T40)</f>
        <v>132023</v>
      </c>
    </row>
    <row r="42" spans="18:20" x14ac:dyDescent="0.25">
      <c r="R42" s="354">
        <v>1.1499999999999999</v>
      </c>
      <c r="S42" s="354">
        <v>1.1499999999999999</v>
      </c>
      <c r="T42" s="354">
        <v>1.1499999999999999</v>
      </c>
    </row>
    <row r="43" spans="18:20" x14ac:dyDescent="0.25">
      <c r="R43" s="354">
        <f>SUM(R41*R42)</f>
        <v>255618.55</v>
      </c>
      <c r="S43" s="354">
        <f>SUM(S41*S42)</f>
        <v>1926801.9999999998</v>
      </c>
      <c r="T43" s="354">
        <f>SUM(T41*T42)</f>
        <v>151826.44999999998</v>
      </c>
    </row>
  </sheetData>
  <mergeCells count="4">
    <mergeCell ref="A2:O2"/>
    <mergeCell ref="A3:O3"/>
    <mergeCell ref="A4:O4"/>
    <mergeCell ref="A5:O5"/>
  </mergeCells>
  <pageMargins left="0.25" right="0.25" top="0.75" bottom="0.75" header="0.3" footer="0.3"/>
  <pageSetup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A9" zoomScaleNormal="100" workbookViewId="0">
      <selection activeCell="G19" sqref="G19"/>
    </sheetView>
  </sheetViews>
  <sheetFormatPr defaultColWidth="12.42578125" defaultRowHeight="15.75" x14ac:dyDescent="0.25"/>
  <cols>
    <col min="1" max="1" width="5.5703125" style="48" bestFit="1" customWidth="1"/>
    <col min="2" max="2" width="49" style="48" customWidth="1"/>
    <col min="3" max="3" width="19.85546875" style="48" hidden="1" customWidth="1"/>
    <col min="4" max="4" width="1.85546875" style="76" hidden="1" customWidth="1"/>
    <col min="5" max="5" width="15.140625" style="48" hidden="1" customWidth="1"/>
    <col min="6" max="6" width="1.85546875" style="76" hidden="1" customWidth="1"/>
    <col min="7" max="7" width="18.140625" style="48" bestFit="1" customWidth="1"/>
    <col min="8" max="8" width="1.85546875" style="76" customWidth="1"/>
    <col min="9" max="9" width="16.42578125" style="48" customWidth="1"/>
    <col min="10" max="10" width="1.85546875" style="76" customWidth="1"/>
    <col min="11" max="11" width="18.140625" style="48" bestFit="1" customWidth="1"/>
    <col min="12" max="12" width="1.85546875" style="76" customWidth="1"/>
    <col min="13" max="13" width="16.42578125" style="48" bestFit="1" customWidth="1"/>
    <col min="14" max="14" width="12.42578125" style="1" customWidth="1"/>
    <col min="15" max="15" width="13.5703125" style="1" customWidth="1"/>
    <col min="16" max="16" width="20.5703125" style="1" customWidth="1"/>
    <col min="17" max="16384" width="12.42578125" style="1"/>
  </cols>
  <sheetData>
    <row r="1" spans="1:20" ht="22.5" x14ac:dyDescent="0.3">
      <c r="B1" s="373" t="s">
        <v>101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20" ht="22.5" x14ac:dyDescent="0.3">
      <c r="B2" s="373" t="s">
        <v>198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20" ht="22.5" x14ac:dyDescent="0.3">
      <c r="B3" s="373" t="s">
        <v>199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20" x14ac:dyDescent="0.25">
      <c r="B4" s="49"/>
      <c r="C4" s="49"/>
      <c r="D4" s="50"/>
      <c r="E4" s="49"/>
      <c r="F4" s="51"/>
      <c r="G4" s="49"/>
      <c r="H4" s="51"/>
      <c r="I4" s="49"/>
      <c r="J4" s="51"/>
      <c r="K4" s="49"/>
      <c r="L4" s="51"/>
      <c r="M4" s="49"/>
    </row>
    <row r="5" spans="1:20" x14ac:dyDescent="0.25">
      <c r="B5" s="52"/>
      <c r="C5" s="53"/>
      <c r="D5" s="54"/>
      <c r="F5" s="54"/>
      <c r="H5" s="54"/>
      <c r="I5" s="260" t="s">
        <v>246</v>
      </c>
      <c r="J5" s="54"/>
      <c r="K5" s="260" t="s">
        <v>285</v>
      </c>
      <c r="L5" s="54"/>
      <c r="M5" s="16"/>
    </row>
    <row r="6" spans="1:20" x14ac:dyDescent="0.25">
      <c r="B6" s="52"/>
      <c r="C6" s="53" t="s">
        <v>0</v>
      </c>
      <c r="D6" s="55"/>
      <c r="E6" s="16" t="s">
        <v>10</v>
      </c>
      <c r="F6" s="55"/>
      <c r="G6" s="16" t="s">
        <v>244</v>
      </c>
      <c r="H6" s="55"/>
      <c r="I6" s="16" t="s">
        <v>245</v>
      </c>
      <c r="J6" s="55"/>
      <c r="K6" s="16" t="s">
        <v>1</v>
      </c>
      <c r="L6" s="55"/>
      <c r="M6" s="16"/>
    </row>
    <row r="7" spans="1:20" x14ac:dyDescent="0.25">
      <c r="B7" s="52"/>
      <c r="C7" s="56" t="s">
        <v>2</v>
      </c>
      <c r="D7" s="55"/>
      <c r="E7" s="57" t="s">
        <v>2</v>
      </c>
      <c r="F7" s="55"/>
      <c r="G7" s="57" t="s">
        <v>2</v>
      </c>
      <c r="H7" s="55"/>
      <c r="I7" s="18" t="s">
        <v>3</v>
      </c>
      <c r="J7" s="55"/>
      <c r="K7" s="18" t="s">
        <v>3</v>
      </c>
      <c r="L7" s="55"/>
      <c r="M7" s="18" t="s">
        <v>38</v>
      </c>
    </row>
    <row r="8" spans="1:20" x14ac:dyDescent="0.25">
      <c r="B8" s="52"/>
      <c r="C8" s="118"/>
      <c r="D8" s="59"/>
      <c r="F8" s="59"/>
      <c r="G8" s="118"/>
      <c r="H8" s="59"/>
      <c r="I8" s="118"/>
      <c r="J8" s="59"/>
      <c r="K8" s="52"/>
      <c r="L8" s="59"/>
      <c r="M8" s="52"/>
    </row>
    <row r="9" spans="1:20" s="7" customFormat="1" x14ac:dyDescent="0.25">
      <c r="A9" s="58"/>
      <c r="B9" s="43" t="s">
        <v>9</v>
      </c>
      <c r="C9" s="59"/>
      <c r="D9" s="59"/>
      <c r="E9" s="11"/>
      <c r="F9" s="59"/>
      <c r="G9" s="59"/>
      <c r="H9" s="59"/>
      <c r="I9" s="59"/>
      <c r="J9" s="59"/>
      <c r="K9" s="11"/>
      <c r="L9" s="59"/>
      <c r="M9" s="59"/>
      <c r="N9" s="6"/>
      <c r="O9" s="5"/>
      <c r="P9" s="6"/>
      <c r="Q9" s="5"/>
      <c r="R9" s="6"/>
      <c r="S9" s="1"/>
      <c r="T9" s="1"/>
    </row>
    <row r="10" spans="1:20" x14ac:dyDescent="0.25">
      <c r="B10" s="11" t="s">
        <v>20</v>
      </c>
      <c r="C10" s="24">
        <v>113603906</v>
      </c>
      <c r="D10" s="60"/>
      <c r="E10" s="61">
        <v>118027939.36</v>
      </c>
      <c r="F10" s="60"/>
      <c r="G10" s="258">
        <v>6741601</v>
      </c>
      <c r="H10" s="60"/>
      <c r="I10" s="61">
        <v>6770000</v>
      </c>
      <c r="J10" s="60"/>
      <c r="K10" s="61">
        <v>7066933</v>
      </c>
      <c r="L10" s="60"/>
      <c r="M10" s="61">
        <f>+K10-I10</f>
        <v>296933</v>
      </c>
    </row>
    <row r="11" spans="1:20" x14ac:dyDescent="0.25">
      <c r="B11" s="11" t="s">
        <v>21</v>
      </c>
      <c r="C11" s="62">
        <v>26950747</v>
      </c>
      <c r="D11" s="63"/>
      <c r="E11" s="64">
        <v>26379305</v>
      </c>
      <c r="F11" s="63"/>
      <c r="G11" s="259">
        <v>91861</v>
      </c>
      <c r="H11" s="63"/>
      <c r="I11" s="64">
        <v>85000</v>
      </c>
      <c r="J11" s="63"/>
      <c r="K11" s="65">
        <v>86500</v>
      </c>
      <c r="L11" s="63"/>
      <c r="M11" s="65">
        <f>+K11-I11</f>
        <v>1500</v>
      </c>
    </row>
    <row r="12" spans="1:20" x14ac:dyDescent="0.25">
      <c r="B12" s="11" t="s">
        <v>22</v>
      </c>
      <c r="C12" s="62">
        <v>148794</v>
      </c>
      <c r="D12" s="66"/>
      <c r="E12" s="64">
        <v>509939</v>
      </c>
      <c r="F12" s="66"/>
      <c r="G12" s="179">
        <v>9480551</v>
      </c>
      <c r="H12" s="66"/>
      <c r="I12" s="63">
        <v>9670000</v>
      </c>
      <c r="J12" s="66"/>
      <c r="K12" s="87">
        <v>10273798</v>
      </c>
      <c r="L12" s="66"/>
      <c r="M12" s="87">
        <f>+K12-I12</f>
        <v>603798</v>
      </c>
    </row>
    <row r="13" spans="1:20" s="7" customFormat="1" x14ac:dyDescent="0.25">
      <c r="A13" s="15" t="s">
        <v>4</v>
      </c>
      <c r="B13" s="67"/>
      <c r="C13" s="68"/>
      <c r="D13" s="67"/>
      <c r="E13" s="68"/>
      <c r="F13" s="67"/>
      <c r="G13" s="67"/>
      <c r="H13" s="67"/>
      <c r="I13" s="67"/>
      <c r="J13" s="67"/>
      <c r="K13" s="67"/>
      <c r="L13" s="48"/>
      <c r="M13" s="67"/>
    </row>
    <row r="14" spans="1:20" x14ac:dyDescent="0.25">
      <c r="B14" s="69" t="s">
        <v>37</v>
      </c>
      <c r="C14" s="70">
        <f>SUM(C9:C12)</f>
        <v>140703447</v>
      </c>
      <c r="D14" s="71"/>
      <c r="E14" s="72">
        <f>SUM(E9:E12)</f>
        <v>144917183.36000001</v>
      </c>
      <c r="F14" s="72"/>
      <c r="G14" s="73">
        <f>SUM(G9:G12)</f>
        <v>16314013</v>
      </c>
      <c r="H14" s="73"/>
      <c r="I14" s="73">
        <f>SUM(I9:I12)</f>
        <v>16525000</v>
      </c>
      <c r="J14" s="73"/>
      <c r="K14" s="73">
        <f>SUM(K9:K12)</f>
        <v>17427231</v>
      </c>
      <c r="L14" s="74"/>
      <c r="M14" s="75">
        <f>SUM(M9:M12)</f>
        <v>902231</v>
      </c>
      <c r="N14" s="2"/>
    </row>
    <row r="15" spans="1:20" x14ac:dyDescent="0.25">
      <c r="B15" s="77"/>
      <c r="C15" s="78"/>
      <c r="D15" s="60"/>
      <c r="E15" s="79" t="s">
        <v>4</v>
      </c>
      <c r="F15" s="60"/>
      <c r="G15" s="80"/>
      <c r="H15" s="60"/>
      <c r="I15" s="80"/>
      <c r="J15" s="60"/>
      <c r="K15" s="80"/>
      <c r="L15" s="60"/>
      <c r="M15" s="80"/>
    </row>
    <row r="16" spans="1:20" x14ac:dyDescent="0.25">
      <c r="B16" s="43" t="s">
        <v>5</v>
      </c>
      <c r="C16" s="14"/>
      <c r="D16" s="60"/>
      <c r="E16" s="11"/>
      <c r="F16" s="60"/>
      <c r="G16" s="52"/>
      <c r="H16" s="60"/>
      <c r="I16" s="52"/>
      <c r="J16" s="60"/>
      <c r="K16" s="52"/>
      <c r="L16" s="60"/>
      <c r="M16" s="52"/>
    </row>
    <row r="17" spans="1:16" x14ac:dyDescent="0.25">
      <c r="B17" s="16"/>
      <c r="C17" s="130"/>
      <c r="E17" s="60"/>
      <c r="F17" s="86"/>
      <c r="G17" s="60"/>
      <c r="H17" s="86"/>
      <c r="I17" s="60"/>
      <c r="J17" s="86"/>
      <c r="K17" s="60"/>
      <c r="L17" s="86"/>
      <c r="M17" s="60"/>
    </row>
    <row r="18" spans="1:16" x14ac:dyDescent="0.25">
      <c r="B18" s="43" t="s">
        <v>127</v>
      </c>
      <c r="C18" s="119" t="e">
        <f>ROUND(C24/C$35,4)</f>
        <v>#REF!</v>
      </c>
      <c r="G18" s="120"/>
      <c r="I18" s="120"/>
      <c r="K18" s="120"/>
      <c r="M18" s="96"/>
    </row>
    <row r="19" spans="1:16" x14ac:dyDescent="0.25">
      <c r="A19" s="48">
        <v>6100</v>
      </c>
      <c r="B19" s="11" t="s">
        <v>11</v>
      </c>
      <c r="C19" s="24">
        <v>1357322</v>
      </c>
      <c r="E19" s="61">
        <v>1330680</v>
      </c>
      <c r="F19" s="86"/>
      <c r="G19" s="61">
        <f>5897271+2828</f>
        <v>5900099</v>
      </c>
      <c r="H19" s="86"/>
      <c r="I19" s="61">
        <v>5877527</v>
      </c>
      <c r="J19" s="86"/>
      <c r="K19" s="258">
        <v>6328674</v>
      </c>
      <c r="L19" s="86"/>
      <c r="M19" s="101">
        <f>+K19-I19</f>
        <v>451147</v>
      </c>
      <c r="N19" s="8"/>
    </row>
    <row r="20" spans="1:16" x14ac:dyDescent="0.25">
      <c r="A20" s="48">
        <v>6200</v>
      </c>
      <c r="B20" s="11" t="s">
        <v>12</v>
      </c>
      <c r="C20" s="62">
        <v>19077</v>
      </c>
      <c r="E20" s="65">
        <v>20625</v>
      </c>
      <c r="F20" s="87"/>
      <c r="G20" s="65">
        <v>210732</v>
      </c>
      <c r="H20" s="87"/>
      <c r="I20" s="65">
        <v>165720</v>
      </c>
      <c r="J20" s="87"/>
      <c r="K20" s="65">
        <v>182851</v>
      </c>
      <c r="L20" s="87"/>
      <c r="M20" s="65">
        <f>+K20-I20</f>
        <v>17131</v>
      </c>
    </row>
    <row r="21" spans="1:16" x14ac:dyDescent="0.25">
      <c r="A21" s="48">
        <v>6300</v>
      </c>
      <c r="B21" s="11" t="s">
        <v>13</v>
      </c>
      <c r="C21" s="62">
        <v>111882</v>
      </c>
      <c r="E21" s="65">
        <v>109867</v>
      </c>
      <c r="F21" s="87"/>
      <c r="G21" s="65">
        <v>8728154</v>
      </c>
      <c r="H21" s="87"/>
      <c r="I21" s="65">
        <v>9712802</v>
      </c>
      <c r="J21" s="87"/>
      <c r="K21" s="65">
        <v>10419574</v>
      </c>
      <c r="L21" s="87"/>
      <c r="M21" s="65">
        <f>+K21-I21</f>
        <v>706772</v>
      </c>
    </row>
    <row r="22" spans="1:16" x14ac:dyDescent="0.25">
      <c r="A22" s="48">
        <v>6400</v>
      </c>
      <c r="B22" s="11" t="s">
        <v>14</v>
      </c>
      <c r="C22" s="62">
        <v>56854</v>
      </c>
      <c r="E22" s="65">
        <v>52111</v>
      </c>
      <c r="F22" s="87"/>
      <c r="G22" s="65">
        <v>40243</v>
      </c>
      <c r="H22" s="87"/>
      <c r="I22" s="65">
        <v>56207</v>
      </c>
      <c r="J22" s="87"/>
      <c r="K22" s="65">
        <v>56525</v>
      </c>
      <c r="L22" s="87"/>
      <c r="M22" s="65">
        <f>+K22-I22</f>
        <v>318</v>
      </c>
    </row>
    <row r="23" spans="1:16" x14ac:dyDescent="0.25">
      <c r="A23" s="48">
        <v>6600</v>
      </c>
      <c r="B23" s="11" t="s">
        <v>15</v>
      </c>
      <c r="C23" s="122">
        <v>6455</v>
      </c>
      <c r="E23" s="129">
        <v>0</v>
      </c>
      <c r="F23" s="87"/>
      <c r="G23" s="129">
        <v>472315</v>
      </c>
      <c r="H23" s="87"/>
      <c r="I23" s="129">
        <v>894574</v>
      </c>
      <c r="J23" s="87"/>
      <c r="K23" s="129">
        <v>774353</v>
      </c>
      <c r="L23" s="87"/>
      <c r="M23" s="65">
        <f>+K23-I23</f>
        <v>-120221</v>
      </c>
    </row>
    <row r="24" spans="1:16" x14ac:dyDescent="0.25">
      <c r="B24" s="16" t="s">
        <v>128</v>
      </c>
      <c r="C24" s="82">
        <f>+C19+C20+C21+C22+C23</f>
        <v>1551590</v>
      </c>
      <c r="E24" s="83">
        <f>+E19+E20+E21+E22+E23</f>
        <v>1513283</v>
      </c>
      <c r="F24" s="86"/>
      <c r="G24" s="83">
        <f>SUM(G19:G23)</f>
        <v>15351543</v>
      </c>
      <c r="H24" s="86"/>
      <c r="I24" s="83">
        <f>SUM(I19:I23)</f>
        <v>16706830</v>
      </c>
      <c r="J24" s="86"/>
      <c r="K24" s="83">
        <f>SUM(K19:K23)</f>
        <v>17761977</v>
      </c>
      <c r="L24" s="86"/>
      <c r="M24" s="83">
        <f>SUM(M19:M23)</f>
        <v>1055147</v>
      </c>
      <c r="O24" s="1">
        <v>15351543</v>
      </c>
      <c r="P24" s="370">
        <f>SUM(G24-O24)</f>
        <v>0</v>
      </c>
    </row>
    <row r="25" spans="1:16" x14ac:dyDescent="0.25">
      <c r="B25" s="15"/>
      <c r="C25" s="19"/>
      <c r="K25" s="88"/>
      <c r="M25" s="96"/>
    </row>
    <row r="26" spans="1:16" x14ac:dyDescent="0.25">
      <c r="B26" s="43" t="s">
        <v>112</v>
      </c>
      <c r="C26" s="119" t="e">
        <f>ROUND(C32/C$35,4)</f>
        <v>#REF!</v>
      </c>
      <c r="G26" s="120"/>
      <c r="I26" s="120"/>
      <c r="K26" s="120"/>
      <c r="M26" s="96"/>
    </row>
    <row r="27" spans="1:16" x14ac:dyDescent="0.25">
      <c r="A27" s="48">
        <v>6100</v>
      </c>
      <c r="B27" s="11" t="s">
        <v>11</v>
      </c>
      <c r="C27" s="24">
        <f>1+5224282</f>
        <v>5224283</v>
      </c>
      <c r="E27" s="61">
        <v>5552553</v>
      </c>
      <c r="F27" s="86"/>
      <c r="G27" s="61">
        <v>270488</v>
      </c>
      <c r="H27" s="86"/>
      <c r="I27" s="61">
        <v>251175</v>
      </c>
      <c r="J27" s="86"/>
      <c r="K27" s="61">
        <v>262299</v>
      </c>
      <c r="L27" s="86"/>
      <c r="M27" s="101">
        <f>+K27-I27</f>
        <v>11124</v>
      </c>
    </row>
    <row r="28" spans="1:16" hidden="1" x14ac:dyDescent="0.25">
      <c r="A28" s="48">
        <v>6200</v>
      </c>
      <c r="B28" s="11" t="s">
        <v>12</v>
      </c>
      <c r="C28" s="62">
        <v>6539510</v>
      </c>
      <c r="E28" s="65">
        <v>6177415</v>
      </c>
      <c r="F28" s="87"/>
      <c r="G28" s="65"/>
      <c r="H28" s="87"/>
      <c r="I28" s="65"/>
      <c r="J28" s="87"/>
      <c r="K28" s="65"/>
      <c r="L28" s="87"/>
      <c r="M28" s="65">
        <f>+K28-I28</f>
        <v>0</v>
      </c>
    </row>
    <row r="29" spans="1:16" hidden="1" x14ac:dyDescent="0.25">
      <c r="A29" s="48">
        <v>6300</v>
      </c>
      <c r="B29" s="11" t="s">
        <v>13</v>
      </c>
      <c r="C29" s="62">
        <v>797171</v>
      </c>
      <c r="E29" s="65">
        <v>709269</v>
      </c>
      <c r="F29" s="87"/>
      <c r="G29" s="65"/>
      <c r="H29" s="87"/>
      <c r="I29" s="65"/>
      <c r="J29" s="87"/>
      <c r="K29" s="65"/>
      <c r="L29" s="87"/>
      <c r="M29" s="65">
        <f>+K29-I29</f>
        <v>0</v>
      </c>
    </row>
    <row r="30" spans="1:16" hidden="1" x14ac:dyDescent="0.25">
      <c r="A30" s="48">
        <v>6400</v>
      </c>
      <c r="B30" s="11" t="s">
        <v>14</v>
      </c>
      <c r="C30" s="62">
        <v>280919</v>
      </c>
      <c r="E30" s="65">
        <v>278564</v>
      </c>
      <c r="F30" s="87"/>
      <c r="G30" s="65"/>
      <c r="H30" s="87"/>
      <c r="I30" s="65"/>
      <c r="J30" s="87"/>
      <c r="K30" s="65"/>
      <c r="L30" s="87"/>
      <c r="M30" s="65">
        <f>+K30-I30</f>
        <v>0</v>
      </c>
    </row>
    <row r="31" spans="1:16" hidden="1" x14ac:dyDescent="0.25">
      <c r="A31" s="48">
        <v>6600</v>
      </c>
      <c r="B31" s="11" t="s">
        <v>15</v>
      </c>
      <c r="C31" s="122">
        <v>108606</v>
      </c>
      <c r="E31" s="129">
        <v>29722</v>
      </c>
      <c r="F31" s="87"/>
      <c r="G31" s="129"/>
      <c r="H31" s="87"/>
      <c r="I31" s="129"/>
      <c r="J31" s="87"/>
      <c r="K31" s="129"/>
      <c r="L31" s="87"/>
      <c r="M31" s="65">
        <f>+K31-I31</f>
        <v>0</v>
      </c>
    </row>
    <row r="32" spans="1:16" x14ac:dyDescent="0.25">
      <c r="B32" s="16" t="s">
        <v>113</v>
      </c>
      <c r="C32" s="82">
        <f>+C31+C30+C29+C28+C27</f>
        <v>12950489</v>
      </c>
      <c r="E32" s="83">
        <f>+E31+E30+E29+E28+E27</f>
        <v>12747523</v>
      </c>
      <c r="F32" s="86"/>
      <c r="G32" s="83">
        <f>SUM(G27:G31)</f>
        <v>270488</v>
      </c>
      <c r="H32" s="86"/>
      <c r="I32" s="83">
        <f>SUM(I27:I31)</f>
        <v>251175</v>
      </c>
      <c r="J32" s="86"/>
      <c r="K32" s="83">
        <f>SUM(K27:K31)</f>
        <v>262299</v>
      </c>
      <c r="L32" s="86"/>
      <c r="M32" s="83">
        <f>SUM(M27:M31)</f>
        <v>11124</v>
      </c>
    </row>
    <row r="33" spans="2:14" x14ac:dyDescent="0.25">
      <c r="B33" s="15"/>
      <c r="C33" s="19"/>
      <c r="K33" s="88"/>
      <c r="M33" s="96"/>
    </row>
    <row r="34" spans="2:14" x14ac:dyDescent="0.25">
      <c r="B34" s="16"/>
      <c r="C34" s="53"/>
      <c r="E34" s="16"/>
      <c r="G34" s="16"/>
      <c r="I34" s="16"/>
      <c r="K34" s="16"/>
      <c r="M34" s="16"/>
    </row>
    <row r="35" spans="2:14" x14ac:dyDescent="0.25">
      <c r="B35" s="69" t="s">
        <v>36</v>
      </c>
      <c r="C35" s="92" t="e">
        <f>+#REF!+#REF!+#REF!+#REF!+#REF!+#REF!+#REF!+#REF!+#REF!+#REF!+C32+#REF!+#REF!+#REF!+#REF!+#REF!+#REF!+#REF!+#REF!</f>
        <v>#REF!</v>
      </c>
      <c r="D35" s="93"/>
      <c r="E35" s="94" t="e">
        <f>+#REF!+#REF!+#REF!+#REF!+#REF!+#REF!+#REF!+#REF!+#REF!+#REF!+E32+#REF!+#REF!+#REF!+#REF!+#REF!+#REF!+#REF!+#REF!</f>
        <v>#REF!</v>
      </c>
      <c r="F35" s="95"/>
      <c r="G35" s="94">
        <f>+G24+G32</f>
        <v>15622031</v>
      </c>
      <c r="H35" s="95"/>
      <c r="I35" s="94">
        <f>+I24+I32</f>
        <v>16958005</v>
      </c>
      <c r="J35" s="95"/>
      <c r="K35" s="94">
        <f>+K24+K32</f>
        <v>18024276</v>
      </c>
      <c r="L35" s="95"/>
      <c r="M35" s="94">
        <f>+M24+M32</f>
        <v>1066271</v>
      </c>
    </row>
    <row r="36" spans="2:14" x14ac:dyDescent="0.25">
      <c r="B36" s="55"/>
      <c r="C36" s="99"/>
      <c r="E36" s="100"/>
      <c r="F36" s="86"/>
      <c r="G36" s="100"/>
      <c r="H36" s="86"/>
      <c r="I36" s="100"/>
      <c r="J36" s="86"/>
      <c r="K36" s="100"/>
      <c r="L36" s="86"/>
      <c r="M36" s="100"/>
    </row>
    <row r="37" spans="2:14" x14ac:dyDescent="0.25">
      <c r="B37" s="15" t="s">
        <v>39</v>
      </c>
      <c r="C37" s="14"/>
      <c r="E37" s="11"/>
      <c r="G37" s="52"/>
      <c r="I37" s="52"/>
      <c r="K37" s="52"/>
      <c r="M37" s="96"/>
    </row>
    <row r="38" spans="2:14" x14ac:dyDescent="0.25">
      <c r="B38" s="15" t="s">
        <v>40</v>
      </c>
      <c r="C38" s="97" t="e">
        <f>C14-#REF!+#REF!</f>
        <v>#REF!</v>
      </c>
      <c r="E38" s="98" t="e">
        <f>E14-#REF!+#REF!</f>
        <v>#REF!</v>
      </c>
      <c r="F38" s="86"/>
      <c r="G38" s="98">
        <f>+G14-G35</f>
        <v>691982</v>
      </c>
      <c r="H38" s="86"/>
      <c r="I38" s="98">
        <f>I14-I35</f>
        <v>-433005</v>
      </c>
      <c r="J38" s="86"/>
      <c r="K38" s="98">
        <f>K14-K35</f>
        <v>-597045</v>
      </c>
      <c r="L38" s="86"/>
      <c r="M38" s="98">
        <f>M14-M35</f>
        <v>-164040</v>
      </c>
      <c r="N38" s="4"/>
    </row>
    <row r="39" spans="2:14" x14ac:dyDescent="0.25">
      <c r="B39" s="15"/>
      <c r="C39" s="24"/>
      <c r="E39" s="88"/>
      <c r="G39" s="110"/>
      <c r="I39" s="110"/>
      <c r="K39" s="110"/>
      <c r="M39" s="96"/>
      <c r="N39" s="4"/>
    </row>
    <row r="40" spans="2:14" hidden="1" x14ac:dyDescent="0.25">
      <c r="B40" s="11" t="s">
        <v>131</v>
      </c>
      <c r="C40" s="24"/>
      <c r="E40" s="88"/>
      <c r="G40" s="101">
        <v>0</v>
      </c>
      <c r="H40" s="86"/>
      <c r="I40" s="101">
        <v>0</v>
      </c>
      <c r="J40" s="86"/>
      <c r="K40" s="101">
        <v>0</v>
      </c>
      <c r="L40" s="86"/>
      <c r="M40" s="101">
        <f>+K40-I40</f>
        <v>0</v>
      </c>
      <c r="N40" s="4"/>
    </row>
    <row r="41" spans="2:14" x14ac:dyDescent="0.25">
      <c r="B41" s="11" t="s">
        <v>130</v>
      </c>
      <c r="C41" s="24"/>
      <c r="E41" s="88"/>
      <c r="G41" s="252">
        <v>47435</v>
      </c>
      <c r="H41" s="86"/>
      <c r="I41" s="252">
        <v>0</v>
      </c>
      <c r="J41" s="86"/>
      <c r="K41" s="252">
        <v>75000</v>
      </c>
      <c r="L41" s="86"/>
      <c r="M41" s="101"/>
      <c r="N41" s="4"/>
    </row>
    <row r="42" spans="2:14" hidden="1" x14ac:dyDescent="0.25">
      <c r="B42" s="11" t="s">
        <v>132</v>
      </c>
      <c r="C42" s="24"/>
      <c r="E42" s="88"/>
      <c r="G42" s="65">
        <v>0</v>
      </c>
      <c r="H42" s="87"/>
      <c r="I42" s="65">
        <v>0</v>
      </c>
      <c r="K42" s="65">
        <v>0</v>
      </c>
      <c r="M42" s="65">
        <f>+K42-I42</f>
        <v>0</v>
      </c>
      <c r="N42" s="4"/>
    </row>
    <row r="43" spans="2:14" hidden="1" x14ac:dyDescent="0.25">
      <c r="B43" s="11" t="s">
        <v>124</v>
      </c>
      <c r="C43" s="24"/>
      <c r="E43" s="88"/>
      <c r="G43" s="87">
        <v>0</v>
      </c>
      <c r="H43" s="87"/>
      <c r="I43" s="65"/>
      <c r="K43" s="65"/>
      <c r="M43" s="65"/>
      <c r="N43" s="4"/>
    </row>
    <row r="44" spans="2:14" hidden="1" x14ac:dyDescent="0.25">
      <c r="B44" s="48" t="s">
        <v>133</v>
      </c>
      <c r="D44" s="48"/>
      <c r="F44" s="48"/>
      <c r="G44" s="91">
        <v>0</v>
      </c>
      <c r="H44" s="87"/>
      <c r="I44" s="137">
        <v>0</v>
      </c>
      <c r="K44" s="137">
        <v>0</v>
      </c>
      <c r="M44" s="137">
        <f>+K44-I44</f>
        <v>0</v>
      </c>
      <c r="N44" s="4"/>
    </row>
    <row r="45" spans="2:14" x14ac:dyDescent="0.25">
      <c r="B45" s="15"/>
      <c r="C45" s="24"/>
      <c r="E45" s="88"/>
      <c r="G45" s="110"/>
      <c r="I45" s="110"/>
      <c r="K45" s="110" t="s">
        <v>4</v>
      </c>
      <c r="M45" s="96"/>
      <c r="N45" s="4"/>
    </row>
    <row r="46" spans="2:14" x14ac:dyDescent="0.25">
      <c r="B46" s="15" t="s">
        <v>126</v>
      </c>
      <c r="C46" s="24"/>
      <c r="E46" s="88"/>
      <c r="G46" s="138">
        <f>SUM(G38:G45)</f>
        <v>739417</v>
      </c>
      <c r="I46" s="138">
        <f>SUM(I38:I45)</f>
        <v>-433005</v>
      </c>
      <c r="K46" s="138">
        <f>SUM(K38:K45)</f>
        <v>-522045</v>
      </c>
      <c r="M46" s="96"/>
      <c r="N46" s="4"/>
    </row>
    <row r="47" spans="2:14" x14ac:dyDescent="0.25">
      <c r="B47" s="15"/>
      <c r="C47" s="24"/>
      <c r="E47" s="88"/>
      <c r="G47" s="110"/>
      <c r="I47" s="110"/>
      <c r="K47" s="110"/>
      <c r="M47" s="96"/>
      <c r="N47" s="4"/>
    </row>
    <row r="48" spans="2:14" x14ac:dyDescent="0.25">
      <c r="B48" s="15" t="s">
        <v>6</v>
      </c>
      <c r="C48" s="24">
        <v>31483659</v>
      </c>
      <c r="E48" s="61" t="e">
        <f>+C50</f>
        <v>#REF!</v>
      </c>
      <c r="F48" s="86"/>
      <c r="G48" s="296">
        <v>489636</v>
      </c>
      <c r="H48" s="86"/>
      <c r="I48" s="270">
        <f>+G50</f>
        <v>1229053</v>
      </c>
      <c r="J48" s="86"/>
      <c r="K48" s="270">
        <f>+I50</f>
        <v>796048</v>
      </c>
      <c r="M48" s="88"/>
      <c r="N48" s="4"/>
    </row>
    <row r="49" spans="1:20" x14ac:dyDescent="0.25">
      <c r="B49" s="15"/>
      <c r="C49" s="24"/>
      <c r="E49" s="61"/>
      <c r="F49" s="86"/>
      <c r="G49" s="60" t="s">
        <v>4</v>
      </c>
      <c r="H49" s="86"/>
      <c r="I49" s="60"/>
      <c r="J49" s="86"/>
      <c r="K49" s="60"/>
      <c r="M49" s="88"/>
      <c r="N49" s="4"/>
    </row>
    <row r="50" spans="1:20" ht="16.5" thickBot="1" x14ac:dyDescent="0.3">
      <c r="B50" s="15" t="s">
        <v>7</v>
      </c>
      <c r="C50" s="24" t="e">
        <f>+C48+C38</f>
        <v>#REF!</v>
      </c>
      <c r="E50" s="61" t="e">
        <f>E38+E48</f>
        <v>#REF!</v>
      </c>
      <c r="F50" s="86"/>
      <c r="G50" s="113">
        <f>+G48+G46</f>
        <v>1229053</v>
      </c>
      <c r="H50" s="114"/>
      <c r="I50" s="113">
        <f>+I48+I46</f>
        <v>796048</v>
      </c>
      <c r="J50" s="114"/>
      <c r="K50" s="113">
        <f>+K48+K46</f>
        <v>274003</v>
      </c>
      <c r="M50" s="110" t="s">
        <v>230</v>
      </c>
      <c r="N50" s="4"/>
    </row>
    <row r="51" spans="1:20" ht="16.5" thickTop="1" x14ac:dyDescent="0.25">
      <c r="B51" s="52"/>
      <c r="C51" s="115"/>
      <c r="E51" s="116"/>
      <c r="G51" s="117"/>
      <c r="I51" s="117"/>
      <c r="K51" s="117"/>
      <c r="M51" s="110"/>
      <c r="N51" s="4"/>
    </row>
    <row r="52" spans="1:20" x14ac:dyDescent="0.25">
      <c r="C52" s="46"/>
      <c r="E52" s="15"/>
      <c r="G52" s="15"/>
      <c r="I52" s="15"/>
      <c r="K52" s="15"/>
      <c r="M52" s="15"/>
    </row>
    <row r="53" spans="1:20" x14ac:dyDescent="0.25">
      <c r="C53" s="19"/>
    </row>
    <row r="54" spans="1:20" x14ac:dyDescent="0.25">
      <c r="C54" s="19"/>
    </row>
    <row r="55" spans="1:20" s="76" customFormat="1" x14ac:dyDescent="0.25">
      <c r="A55" s="48"/>
      <c r="B55" s="48"/>
      <c r="C55" s="19"/>
      <c r="E55" s="48"/>
      <c r="G55" s="48"/>
      <c r="I55" s="48"/>
      <c r="K55" s="48"/>
      <c r="M55" s="48"/>
      <c r="N55" s="1"/>
      <c r="O55" s="1"/>
      <c r="P55" s="1"/>
      <c r="Q55" s="1"/>
      <c r="R55" s="1"/>
      <c r="S55" s="1"/>
      <c r="T55" s="1"/>
    </row>
    <row r="56" spans="1:20" s="76" customFormat="1" x14ac:dyDescent="0.25">
      <c r="A56" s="48"/>
      <c r="B56" s="48"/>
      <c r="C56" s="19"/>
      <c r="E56" s="48"/>
      <c r="G56" s="48"/>
      <c r="I56" s="48"/>
      <c r="K56" s="48"/>
      <c r="M56" s="48"/>
      <c r="N56" s="1"/>
      <c r="O56" s="1"/>
      <c r="P56" s="1"/>
      <c r="Q56" s="1"/>
      <c r="R56" s="1"/>
      <c r="S56" s="1"/>
      <c r="T56" s="1"/>
    </row>
    <row r="57" spans="1:20" s="76" customFormat="1" x14ac:dyDescent="0.25">
      <c r="A57" s="48"/>
      <c r="B57" s="48"/>
      <c r="C57" s="19"/>
      <c r="E57" s="48"/>
      <c r="G57" s="48"/>
      <c r="I57" s="48"/>
      <c r="K57" s="48"/>
      <c r="M57" s="48"/>
      <c r="N57" s="1"/>
      <c r="O57" s="1"/>
      <c r="P57" s="1"/>
      <c r="Q57" s="1"/>
      <c r="R57" s="1"/>
      <c r="S57" s="1"/>
      <c r="T57" s="1"/>
    </row>
    <row r="58" spans="1:20" s="76" customFormat="1" x14ac:dyDescent="0.25">
      <c r="A58" s="48"/>
      <c r="B58" s="48"/>
      <c r="C58" s="19"/>
      <c r="E58" s="48"/>
      <c r="G58" s="48"/>
      <c r="I58" s="48"/>
      <c r="K58" s="48"/>
      <c r="M58" s="48"/>
      <c r="N58" s="1"/>
      <c r="O58" s="1"/>
      <c r="P58" s="1"/>
      <c r="Q58" s="1"/>
      <c r="R58" s="1"/>
      <c r="S58" s="1"/>
      <c r="T58" s="1"/>
    </row>
    <row r="59" spans="1:20" s="76" customFormat="1" x14ac:dyDescent="0.25">
      <c r="A59" s="48"/>
      <c r="B59" s="48"/>
      <c r="C59" s="19"/>
      <c r="E59" s="48"/>
      <c r="G59" s="48"/>
      <c r="I59" s="48"/>
      <c r="K59" s="48"/>
      <c r="M59" s="48"/>
      <c r="N59" s="1"/>
      <c r="O59" s="1"/>
      <c r="P59" s="1"/>
      <c r="Q59" s="1"/>
      <c r="R59" s="1"/>
      <c r="S59" s="1"/>
      <c r="T59" s="1"/>
    </row>
  </sheetData>
  <mergeCells count="3">
    <mergeCell ref="B1:M1"/>
    <mergeCell ref="B2:M2"/>
    <mergeCell ref="B3:M3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22" zoomScaleNormal="100" workbookViewId="0">
      <selection activeCell="K22" sqref="K22"/>
    </sheetView>
  </sheetViews>
  <sheetFormatPr defaultColWidth="12.42578125" defaultRowHeight="15.75" x14ac:dyDescent="0.25"/>
  <cols>
    <col min="1" max="1" width="5.5703125" style="255" bestFit="1" customWidth="1"/>
    <col min="2" max="2" width="43" style="48" customWidth="1"/>
    <col min="3" max="3" width="19.85546875" style="48" hidden="1" customWidth="1"/>
    <col min="4" max="4" width="1.85546875" style="76" hidden="1" customWidth="1"/>
    <col min="5" max="5" width="15.140625" style="48" hidden="1" customWidth="1"/>
    <col min="6" max="6" width="1.85546875" style="76" hidden="1" customWidth="1"/>
    <col min="7" max="7" width="18.28515625" style="48" bestFit="1" customWidth="1"/>
    <col min="8" max="8" width="1.85546875" style="76" customWidth="1"/>
    <col min="9" max="9" width="16.42578125" style="48" customWidth="1"/>
    <col min="10" max="10" width="1.85546875" style="76" customWidth="1"/>
    <col min="11" max="11" width="18.28515625" style="48" bestFit="1" customWidth="1"/>
    <col min="12" max="12" width="1.85546875" style="76" customWidth="1"/>
    <col min="13" max="13" width="17.7109375" style="48" bestFit="1" customWidth="1"/>
    <col min="14" max="14" width="12.42578125" style="1" customWidth="1"/>
    <col min="15" max="15" width="13.5703125" style="1" customWidth="1"/>
    <col min="16" max="16" width="20.5703125" style="1" customWidth="1"/>
    <col min="17" max="16384" width="12.42578125" style="1"/>
  </cols>
  <sheetData>
    <row r="1" spans="1:20" ht="22.5" x14ac:dyDescent="0.3">
      <c r="B1" s="373" t="s">
        <v>101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20" ht="22.5" x14ac:dyDescent="0.3">
      <c r="B2" s="373" t="s">
        <v>195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20" ht="22.5" x14ac:dyDescent="0.3">
      <c r="B3" s="373" t="s">
        <v>199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20" x14ac:dyDescent="0.25">
      <c r="B4" s="49"/>
      <c r="C4" s="49"/>
      <c r="D4" s="50"/>
      <c r="E4" s="49"/>
      <c r="F4" s="51"/>
      <c r="G4" s="49"/>
      <c r="H4" s="51"/>
      <c r="I4" s="49"/>
      <c r="J4" s="51"/>
      <c r="K4" s="49"/>
      <c r="L4" s="51"/>
      <c r="M4" s="49"/>
    </row>
    <row r="5" spans="1:20" x14ac:dyDescent="0.25">
      <c r="B5" s="52"/>
      <c r="C5" s="53"/>
      <c r="D5" s="54"/>
      <c r="F5" s="54"/>
      <c r="H5" s="54"/>
      <c r="J5" s="54"/>
      <c r="K5" s="16" t="s">
        <v>285</v>
      </c>
      <c r="L5" s="54"/>
      <c r="M5" s="16"/>
    </row>
    <row r="6" spans="1:20" x14ac:dyDescent="0.25">
      <c r="B6" s="52"/>
      <c r="C6" s="53" t="s">
        <v>0</v>
      </c>
      <c r="D6" s="55"/>
      <c r="E6" s="16" t="s">
        <v>10</v>
      </c>
      <c r="F6" s="55"/>
      <c r="G6" s="260" t="s">
        <v>244</v>
      </c>
      <c r="H6" s="55"/>
      <c r="I6" s="16" t="s">
        <v>246</v>
      </c>
      <c r="J6" s="55"/>
      <c r="K6" s="16" t="s">
        <v>1</v>
      </c>
      <c r="L6" s="55"/>
      <c r="M6" s="16"/>
    </row>
    <row r="7" spans="1:20" x14ac:dyDescent="0.25">
      <c r="B7" s="52"/>
      <c r="C7" s="56" t="s">
        <v>2</v>
      </c>
      <c r="D7" s="55"/>
      <c r="E7" s="57" t="s">
        <v>2</v>
      </c>
      <c r="F7" s="55"/>
      <c r="G7" s="57" t="s">
        <v>2</v>
      </c>
      <c r="H7" s="55"/>
      <c r="I7" s="18" t="s">
        <v>3</v>
      </c>
      <c r="J7" s="55"/>
      <c r="K7" s="18" t="s">
        <v>3</v>
      </c>
      <c r="L7" s="55"/>
      <c r="M7" s="18" t="s">
        <v>38</v>
      </c>
    </row>
    <row r="8" spans="1:20" x14ac:dyDescent="0.25">
      <c r="B8" s="52"/>
      <c r="C8" s="118"/>
      <c r="D8" s="59"/>
      <c r="F8" s="59"/>
      <c r="G8" s="118"/>
      <c r="H8" s="59"/>
      <c r="I8" s="118"/>
      <c r="J8" s="59"/>
      <c r="K8" s="52"/>
      <c r="L8" s="59"/>
      <c r="M8" s="52"/>
    </row>
    <row r="9" spans="1:20" s="7" customFormat="1" x14ac:dyDescent="0.25">
      <c r="A9" s="256"/>
      <c r="B9" s="43" t="s">
        <v>9</v>
      </c>
      <c r="C9" s="59"/>
      <c r="D9" s="59"/>
      <c r="E9" s="11"/>
      <c r="F9" s="59"/>
      <c r="G9" s="59"/>
      <c r="H9" s="59"/>
      <c r="I9" s="59"/>
      <c r="J9" s="59"/>
      <c r="K9" s="11"/>
      <c r="L9" s="59"/>
      <c r="M9" s="59"/>
      <c r="N9" s="6"/>
      <c r="O9" s="5"/>
      <c r="P9" s="6"/>
      <c r="Q9" s="5"/>
      <c r="R9" s="6"/>
      <c r="S9" s="1"/>
      <c r="T9" s="1"/>
    </row>
    <row r="10" spans="1:20" x14ac:dyDescent="0.25">
      <c r="B10" s="11" t="s">
        <v>20</v>
      </c>
      <c r="C10" s="24">
        <v>113603906</v>
      </c>
      <c r="D10" s="60"/>
      <c r="E10" s="61">
        <v>118027939.36</v>
      </c>
      <c r="F10" s="60"/>
      <c r="G10" s="61">
        <v>64328114</v>
      </c>
      <c r="H10" s="60"/>
      <c r="I10" s="61">
        <v>68157968</v>
      </c>
      <c r="J10" s="60"/>
      <c r="K10" s="61">
        <v>72865846</v>
      </c>
      <c r="L10" s="60"/>
      <c r="M10" s="61">
        <f>+K10-I10</f>
        <v>4707878</v>
      </c>
    </row>
    <row r="11" spans="1:20" x14ac:dyDescent="0.25">
      <c r="B11" s="11" t="s">
        <v>21</v>
      </c>
      <c r="C11" s="62">
        <v>26950747</v>
      </c>
      <c r="D11" s="63"/>
      <c r="E11" s="64">
        <v>26379305</v>
      </c>
      <c r="F11" s="63"/>
      <c r="G11" s="64">
        <v>2229529</v>
      </c>
      <c r="H11" s="63"/>
      <c r="I11" s="64">
        <v>0</v>
      </c>
      <c r="J11" s="63"/>
      <c r="K11" s="65">
        <v>0</v>
      </c>
      <c r="L11" s="63"/>
      <c r="M11" s="65">
        <f>+K11-I11</f>
        <v>0</v>
      </c>
    </row>
    <row r="12" spans="1:20" hidden="1" x14ac:dyDescent="0.25">
      <c r="B12" s="11" t="s">
        <v>22</v>
      </c>
      <c r="C12" s="62">
        <v>148794</v>
      </c>
      <c r="D12" s="66"/>
      <c r="E12" s="64">
        <v>509939</v>
      </c>
      <c r="F12" s="66"/>
      <c r="G12" s="64">
        <v>0</v>
      </c>
      <c r="H12" s="66"/>
      <c r="I12" s="64">
        <v>0</v>
      </c>
      <c r="J12" s="66"/>
      <c r="K12" s="65">
        <v>0</v>
      </c>
      <c r="L12" s="66"/>
      <c r="M12" s="65">
        <f>+K12-I12</f>
        <v>0</v>
      </c>
    </row>
    <row r="13" spans="1:20" s="7" customFormat="1" hidden="1" x14ac:dyDescent="0.25">
      <c r="A13" s="257" t="s">
        <v>4</v>
      </c>
      <c r="B13" s="67"/>
      <c r="C13" s="68"/>
      <c r="D13" s="67"/>
      <c r="E13" s="68"/>
      <c r="F13" s="67"/>
      <c r="G13" s="68"/>
      <c r="H13" s="67"/>
      <c r="I13" s="68"/>
      <c r="J13" s="67"/>
      <c r="K13" s="68"/>
      <c r="L13" s="48"/>
      <c r="M13" s="68"/>
    </row>
    <row r="14" spans="1:20" x14ac:dyDescent="0.25">
      <c r="B14" s="69" t="s">
        <v>37</v>
      </c>
      <c r="C14" s="70">
        <f>SUM(C9:C12)</f>
        <v>140703447</v>
      </c>
      <c r="D14" s="71"/>
      <c r="E14" s="72">
        <f>SUM(E9:E12)</f>
        <v>144917183.36000001</v>
      </c>
      <c r="F14" s="72"/>
      <c r="G14" s="73">
        <f>SUM(G9:G12)</f>
        <v>66557643</v>
      </c>
      <c r="H14" s="73"/>
      <c r="I14" s="73">
        <f>SUM(I9:I12)</f>
        <v>68157968</v>
      </c>
      <c r="J14" s="73"/>
      <c r="K14" s="73">
        <f>SUM(K9:K12)</f>
        <v>72865846</v>
      </c>
      <c r="L14" s="74"/>
      <c r="M14" s="75">
        <f>SUM(M9:M12)</f>
        <v>4707878</v>
      </c>
      <c r="N14" s="2"/>
    </row>
    <row r="15" spans="1:20" x14ac:dyDescent="0.25">
      <c r="B15" s="77"/>
      <c r="C15" s="78"/>
      <c r="D15" s="60"/>
      <c r="E15" s="79" t="s">
        <v>4</v>
      </c>
      <c r="F15" s="60"/>
      <c r="G15" s="80"/>
      <c r="H15" s="60"/>
      <c r="I15" s="80"/>
      <c r="J15" s="60"/>
      <c r="K15" s="80"/>
      <c r="L15" s="60"/>
      <c r="M15" s="80"/>
    </row>
    <row r="16" spans="1:20" x14ac:dyDescent="0.25">
      <c r="B16" s="43" t="s">
        <v>5</v>
      </c>
      <c r="C16" s="14"/>
      <c r="D16" s="60"/>
      <c r="E16" s="11"/>
      <c r="F16" s="60"/>
      <c r="G16" s="52"/>
      <c r="H16" s="60"/>
      <c r="I16" s="52"/>
      <c r="J16" s="60"/>
      <c r="K16" s="52"/>
      <c r="L16" s="60"/>
      <c r="M16" s="52"/>
    </row>
    <row r="17" spans="1:14" x14ac:dyDescent="0.25">
      <c r="B17" s="16"/>
      <c r="C17" s="130"/>
      <c r="E17" s="60"/>
      <c r="F17" s="86"/>
      <c r="G17" s="60"/>
      <c r="H17" s="86"/>
      <c r="I17" s="60"/>
      <c r="J17" s="86"/>
      <c r="K17" s="60"/>
      <c r="L17" s="86"/>
      <c r="M17" s="60"/>
    </row>
    <row r="18" spans="1:14" x14ac:dyDescent="0.25">
      <c r="B18" s="43" t="s">
        <v>135</v>
      </c>
      <c r="C18" s="119" t="e">
        <f>ROUND(C22/C$33,4)</f>
        <v>#REF!</v>
      </c>
      <c r="G18" s="120"/>
      <c r="I18" s="120"/>
      <c r="K18" s="120"/>
      <c r="M18" s="96"/>
    </row>
    <row r="19" spans="1:14" x14ac:dyDescent="0.25">
      <c r="A19" s="255" t="s">
        <v>232</v>
      </c>
      <c r="B19" s="11" t="s">
        <v>231</v>
      </c>
      <c r="C19" s="24">
        <v>1357322</v>
      </c>
      <c r="E19" s="61">
        <v>1330680</v>
      </c>
      <c r="F19" s="86"/>
      <c r="G19" s="61">
        <v>27980000</v>
      </c>
      <c r="H19" s="86"/>
      <c r="I19" s="61">
        <v>23745000</v>
      </c>
      <c r="J19" s="86"/>
      <c r="K19" s="61">
        <v>25940000</v>
      </c>
      <c r="L19" s="86"/>
      <c r="M19" s="101">
        <f>+K19-I19</f>
        <v>2195000</v>
      </c>
      <c r="N19" s="8"/>
    </row>
    <row r="20" spans="1:14" x14ac:dyDescent="0.25">
      <c r="A20" s="255" t="s">
        <v>233</v>
      </c>
      <c r="B20" s="11" t="s">
        <v>235</v>
      </c>
      <c r="C20" s="62">
        <v>19077</v>
      </c>
      <c r="E20" s="65">
        <v>20625</v>
      </c>
      <c r="F20" s="87"/>
      <c r="G20" s="65">
        <v>32631239</v>
      </c>
      <c r="H20" s="87"/>
      <c r="I20" s="65">
        <v>33384847</v>
      </c>
      <c r="J20" s="87"/>
      <c r="K20" s="65">
        <v>32330809</v>
      </c>
      <c r="L20" s="87"/>
      <c r="M20" s="65">
        <f>+K20-I20</f>
        <v>-1054038</v>
      </c>
    </row>
    <row r="21" spans="1:14" x14ac:dyDescent="0.25">
      <c r="A21" s="255" t="s">
        <v>234</v>
      </c>
      <c r="B21" s="11" t="s">
        <v>236</v>
      </c>
      <c r="C21" s="62">
        <v>111882</v>
      </c>
      <c r="E21" s="65">
        <v>109867</v>
      </c>
      <c r="F21" s="87"/>
      <c r="G21" s="65">
        <v>588317</v>
      </c>
      <c r="H21" s="87"/>
      <c r="I21" s="65">
        <v>200000</v>
      </c>
      <c r="J21" s="87"/>
      <c r="K21" s="65">
        <v>30000</v>
      </c>
      <c r="L21" s="87"/>
      <c r="M21" s="65">
        <f>+K21-I21</f>
        <v>-170000</v>
      </c>
    </row>
    <row r="22" spans="1:14" x14ac:dyDescent="0.25">
      <c r="B22" s="16" t="s">
        <v>136</v>
      </c>
      <c r="C22" s="82" t="e">
        <f>+C19+C20+C21+#REF!+#REF!</f>
        <v>#REF!</v>
      </c>
      <c r="E22" s="83" t="e">
        <f>+E19+E20+E21+#REF!+#REF!</f>
        <v>#REF!</v>
      </c>
      <c r="F22" s="86"/>
      <c r="G22" s="83">
        <f>SUM(G19:G21)</f>
        <v>61199556</v>
      </c>
      <c r="H22" s="86"/>
      <c r="I22" s="83">
        <f>SUM(I19:I21)</f>
        <v>57329847</v>
      </c>
      <c r="J22" s="86"/>
      <c r="K22" s="83">
        <f>SUM(K19:K21)</f>
        <v>58300809</v>
      </c>
      <c r="L22" s="86"/>
      <c r="M22" s="83">
        <f>SUM(M19:M21)</f>
        <v>970962</v>
      </c>
      <c r="N22" s="261"/>
    </row>
    <row r="23" spans="1:14" hidden="1" x14ac:dyDescent="0.25">
      <c r="B23" s="15"/>
      <c r="C23" s="19"/>
      <c r="K23" s="88"/>
      <c r="M23" s="96"/>
    </row>
    <row r="24" spans="1:14" hidden="1" x14ac:dyDescent="0.25">
      <c r="B24" s="43" t="s">
        <v>112</v>
      </c>
      <c r="C24" s="119" t="e">
        <f>ROUND(C30/C$33,4)</f>
        <v>#REF!</v>
      </c>
      <c r="G24" s="120"/>
      <c r="I24" s="120"/>
      <c r="K24" s="120"/>
      <c r="M24" s="96"/>
    </row>
    <row r="25" spans="1:14" hidden="1" x14ac:dyDescent="0.25">
      <c r="A25" s="255">
        <v>6100</v>
      </c>
      <c r="B25" s="11" t="s">
        <v>11</v>
      </c>
      <c r="C25" s="24">
        <f>1+5224282</f>
        <v>5224283</v>
      </c>
      <c r="E25" s="61">
        <v>5552553</v>
      </c>
      <c r="F25" s="86"/>
      <c r="G25" s="61">
        <v>0</v>
      </c>
      <c r="H25" s="86"/>
      <c r="I25" s="61">
        <v>0</v>
      </c>
      <c r="J25" s="86"/>
      <c r="K25" s="61">
        <v>0</v>
      </c>
      <c r="L25" s="86"/>
      <c r="M25" s="101">
        <f>+K25-I25</f>
        <v>0</v>
      </c>
    </row>
    <row r="26" spans="1:14" hidden="1" x14ac:dyDescent="0.25">
      <c r="A26" s="255">
        <v>6200</v>
      </c>
      <c r="B26" s="11" t="s">
        <v>12</v>
      </c>
      <c r="C26" s="62">
        <v>6539510</v>
      </c>
      <c r="E26" s="65">
        <v>6177415</v>
      </c>
      <c r="F26" s="87"/>
      <c r="G26" s="65"/>
      <c r="H26" s="87"/>
      <c r="I26" s="65"/>
      <c r="J26" s="87"/>
      <c r="K26" s="65"/>
      <c r="L26" s="87"/>
      <c r="M26" s="65">
        <f>+K26-I26</f>
        <v>0</v>
      </c>
    </row>
    <row r="27" spans="1:14" hidden="1" x14ac:dyDescent="0.25">
      <c r="A27" s="255">
        <v>6300</v>
      </c>
      <c r="B27" s="11" t="s">
        <v>13</v>
      </c>
      <c r="C27" s="62">
        <v>797171</v>
      </c>
      <c r="E27" s="65">
        <v>709269</v>
      </c>
      <c r="F27" s="87"/>
      <c r="G27" s="65"/>
      <c r="H27" s="87"/>
      <c r="I27" s="65"/>
      <c r="J27" s="87"/>
      <c r="K27" s="65"/>
      <c r="L27" s="87"/>
      <c r="M27" s="65">
        <f>+K27-I27</f>
        <v>0</v>
      </c>
    </row>
    <row r="28" spans="1:14" hidden="1" x14ac:dyDescent="0.25">
      <c r="A28" s="255">
        <v>6400</v>
      </c>
      <c r="B28" s="11" t="s">
        <v>14</v>
      </c>
      <c r="C28" s="62">
        <v>280919</v>
      </c>
      <c r="E28" s="65">
        <v>278564</v>
      </c>
      <c r="F28" s="87"/>
      <c r="G28" s="65"/>
      <c r="H28" s="87"/>
      <c r="I28" s="65"/>
      <c r="J28" s="87"/>
      <c r="K28" s="65"/>
      <c r="L28" s="87"/>
      <c r="M28" s="65">
        <f>+K28-I28</f>
        <v>0</v>
      </c>
    </row>
    <row r="29" spans="1:14" hidden="1" x14ac:dyDescent="0.25">
      <c r="A29" s="255">
        <v>6600</v>
      </c>
      <c r="B29" s="11" t="s">
        <v>15</v>
      </c>
      <c r="C29" s="122">
        <v>108606</v>
      </c>
      <c r="E29" s="129">
        <v>29722</v>
      </c>
      <c r="F29" s="87"/>
      <c r="G29" s="129"/>
      <c r="H29" s="87"/>
      <c r="I29" s="129"/>
      <c r="J29" s="87"/>
      <c r="K29" s="129"/>
      <c r="L29" s="87"/>
      <c r="M29" s="65">
        <f>+K29-I29</f>
        <v>0</v>
      </c>
    </row>
    <row r="30" spans="1:14" hidden="1" x14ac:dyDescent="0.25">
      <c r="B30" s="16" t="s">
        <v>113</v>
      </c>
      <c r="C30" s="82">
        <f>+C29+C28+C27+C26+C25</f>
        <v>12950489</v>
      </c>
      <c r="E30" s="83">
        <f>+E29+E28+E27+E26+E25</f>
        <v>12747523</v>
      </c>
      <c r="F30" s="86"/>
      <c r="G30" s="83">
        <f>SUM(G25:G29)</f>
        <v>0</v>
      </c>
      <c r="H30" s="86"/>
      <c r="I30" s="83">
        <f>SUM(I25:I29)</f>
        <v>0</v>
      </c>
      <c r="J30" s="86"/>
      <c r="K30" s="83">
        <f>SUM(K25:K29)</f>
        <v>0</v>
      </c>
      <c r="L30" s="86"/>
      <c r="M30" s="83">
        <f>SUM(M25:M29)</f>
        <v>0</v>
      </c>
    </row>
    <row r="31" spans="1:14" x14ac:dyDescent="0.25">
      <c r="B31" s="15"/>
      <c r="C31" s="19"/>
      <c r="K31" s="88"/>
      <c r="M31" s="96"/>
    </row>
    <row r="32" spans="1:14" x14ac:dyDescent="0.25">
      <c r="B32" s="16"/>
      <c r="C32" s="53"/>
      <c r="E32" s="16"/>
      <c r="G32" s="16"/>
      <c r="I32" s="16"/>
      <c r="K32" s="16"/>
      <c r="M32" s="16"/>
    </row>
    <row r="33" spans="1:14" x14ac:dyDescent="0.25">
      <c r="B33" s="69" t="s">
        <v>36</v>
      </c>
      <c r="C33" s="92" t="e">
        <f>+#REF!+#REF!+#REF!+#REF!+#REF!+#REF!+#REF!+#REF!+#REF!+#REF!+C30+#REF!+#REF!+#REF!+#REF!+#REF!+#REF!+#REF!+#REF!</f>
        <v>#REF!</v>
      </c>
      <c r="D33" s="93"/>
      <c r="E33" s="94" t="e">
        <f>+#REF!+#REF!+#REF!+#REF!+#REF!+#REF!+#REF!+#REF!+#REF!+#REF!+E30+#REF!+#REF!+#REF!+#REF!+#REF!+#REF!+#REF!+#REF!</f>
        <v>#REF!</v>
      </c>
      <c r="F33" s="95"/>
      <c r="G33" s="94">
        <f>+G22+G30</f>
        <v>61199556</v>
      </c>
      <c r="H33" s="95"/>
      <c r="I33" s="94">
        <f>+I22+I30</f>
        <v>57329847</v>
      </c>
      <c r="J33" s="95"/>
      <c r="K33" s="94">
        <f>+K22+K30</f>
        <v>58300809</v>
      </c>
      <c r="L33" s="95"/>
      <c r="M33" s="94">
        <f>+M22+M30</f>
        <v>970962</v>
      </c>
    </row>
    <row r="34" spans="1:14" x14ac:dyDescent="0.25">
      <c r="B34" s="55"/>
      <c r="C34" s="99"/>
      <c r="E34" s="100"/>
      <c r="F34" s="86"/>
      <c r="G34" s="100"/>
      <c r="H34" s="86"/>
      <c r="I34" s="100"/>
      <c r="J34" s="86"/>
      <c r="K34" s="100"/>
      <c r="L34" s="86"/>
      <c r="M34" s="100"/>
    </row>
    <row r="35" spans="1:14" x14ac:dyDescent="0.25">
      <c r="B35" s="15" t="s">
        <v>39</v>
      </c>
      <c r="C35" s="14"/>
      <c r="E35" s="11"/>
      <c r="G35" s="52"/>
      <c r="I35" s="52"/>
      <c r="K35" s="52"/>
      <c r="M35" s="96"/>
    </row>
    <row r="36" spans="1:14" x14ac:dyDescent="0.25">
      <c r="B36" s="15" t="s">
        <v>40</v>
      </c>
      <c r="C36" s="97" t="e">
        <f>C14-#REF!+#REF!</f>
        <v>#REF!</v>
      </c>
      <c r="E36" s="98" t="e">
        <f>E14-#REF!+#REF!</f>
        <v>#REF!</v>
      </c>
      <c r="F36" s="86"/>
      <c r="G36" s="98">
        <f>+G14-G33</f>
        <v>5358087</v>
      </c>
      <c r="H36" s="86"/>
      <c r="I36" s="98">
        <f>I14-I33</f>
        <v>10828121</v>
      </c>
      <c r="J36" s="86"/>
      <c r="K36" s="98">
        <f>K14-K33</f>
        <v>14565037</v>
      </c>
      <c r="L36" s="86"/>
      <c r="M36" s="98">
        <f>M14-M33</f>
        <v>3736916</v>
      </c>
      <c r="N36" s="4"/>
    </row>
    <row r="37" spans="1:14" x14ac:dyDescent="0.25">
      <c r="B37" s="15"/>
      <c r="C37" s="24"/>
      <c r="E37" s="88"/>
      <c r="G37" s="110"/>
      <c r="I37" s="110"/>
      <c r="K37" s="110"/>
      <c r="M37" s="96"/>
      <c r="N37" s="4"/>
    </row>
    <row r="38" spans="1:14" x14ac:dyDescent="0.25">
      <c r="A38" s="255" t="s">
        <v>237</v>
      </c>
      <c r="B38" s="11" t="s">
        <v>238</v>
      </c>
      <c r="C38" s="24"/>
      <c r="E38" s="88"/>
      <c r="G38" s="101">
        <v>74810000</v>
      </c>
      <c r="H38" s="86"/>
      <c r="I38" s="101">
        <v>0</v>
      </c>
      <c r="J38" s="86"/>
      <c r="K38" s="101">
        <v>0</v>
      </c>
      <c r="L38" s="86"/>
      <c r="M38" s="101">
        <f>+K38-I38</f>
        <v>0</v>
      </c>
      <c r="N38" s="4"/>
    </row>
    <row r="39" spans="1:14" x14ac:dyDescent="0.25">
      <c r="A39" s="255" t="s">
        <v>249</v>
      </c>
      <c r="B39" s="11" t="s">
        <v>239</v>
      </c>
      <c r="C39" s="24"/>
      <c r="E39" s="88"/>
      <c r="G39" s="103">
        <v>5988735</v>
      </c>
      <c r="H39" s="103"/>
      <c r="I39" s="103">
        <v>0</v>
      </c>
      <c r="J39" s="103"/>
      <c r="K39" s="103"/>
      <c r="L39" s="103"/>
      <c r="M39" s="102">
        <f>+K39-I39</f>
        <v>0</v>
      </c>
      <c r="N39" s="4"/>
    </row>
    <row r="40" spans="1:14" x14ac:dyDescent="0.25">
      <c r="A40" s="255" t="s">
        <v>248</v>
      </c>
      <c r="B40" s="11" t="s">
        <v>247</v>
      </c>
      <c r="C40" s="24"/>
      <c r="E40" s="88"/>
      <c r="G40" s="103">
        <v>115602</v>
      </c>
      <c r="H40" s="103"/>
      <c r="I40" s="103">
        <v>0</v>
      </c>
      <c r="J40" s="103"/>
      <c r="K40" s="103"/>
      <c r="L40" s="103"/>
      <c r="M40" s="102">
        <f>+K40-I40</f>
        <v>0</v>
      </c>
      <c r="N40" s="4"/>
    </row>
    <row r="41" spans="1:14" x14ac:dyDescent="0.25">
      <c r="A41" s="255" t="s">
        <v>250</v>
      </c>
      <c r="B41" s="11" t="s">
        <v>240</v>
      </c>
      <c r="C41" s="24"/>
      <c r="E41" s="88"/>
      <c r="G41" s="268">
        <v>-80226775</v>
      </c>
      <c r="H41" s="105"/>
      <c r="I41" s="268">
        <v>0</v>
      </c>
      <c r="J41" s="106"/>
      <c r="K41" s="268">
        <v>0</v>
      </c>
      <c r="L41" s="106"/>
      <c r="M41" s="107">
        <f>+K41-I41</f>
        <v>0</v>
      </c>
      <c r="N41" s="4"/>
    </row>
    <row r="42" spans="1:14" x14ac:dyDescent="0.25">
      <c r="B42" s="15"/>
      <c r="C42" s="24"/>
      <c r="E42" s="88"/>
      <c r="G42" s="110"/>
      <c r="I42" s="110"/>
      <c r="K42" s="110" t="s">
        <v>4</v>
      </c>
      <c r="M42" s="96"/>
      <c r="N42" s="4"/>
    </row>
    <row r="43" spans="1:14" x14ac:dyDescent="0.25">
      <c r="B43" s="15" t="s">
        <v>126</v>
      </c>
      <c r="C43" s="24"/>
      <c r="E43" s="88"/>
      <c r="G43" s="138">
        <f>SUM(G36:G42)</f>
        <v>6045649</v>
      </c>
      <c r="I43" s="138">
        <f>SUM(I36:I42)</f>
        <v>10828121</v>
      </c>
      <c r="K43" s="138">
        <f>SUM(K36:K42)</f>
        <v>14565037</v>
      </c>
      <c r="M43" s="96"/>
      <c r="N43" s="4"/>
    </row>
    <row r="44" spans="1:14" x14ac:dyDescent="0.25">
      <c r="B44" s="15"/>
      <c r="C44" s="24"/>
      <c r="E44" s="88"/>
      <c r="G44" s="110"/>
      <c r="I44" s="110"/>
      <c r="K44" s="110"/>
      <c r="M44" s="96"/>
      <c r="N44" s="4"/>
    </row>
    <row r="45" spans="1:14" ht="18" x14ac:dyDescent="0.4">
      <c r="B45" s="15" t="s">
        <v>6</v>
      </c>
      <c r="C45" s="24">
        <v>31483659</v>
      </c>
      <c r="E45" s="61" t="e">
        <f>+C47</f>
        <v>#REF!</v>
      </c>
      <c r="F45" s="86"/>
      <c r="G45" s="111">
        <v>27198818</v>
      </c>
      <c r="H45" s="86"/>
      <c r="I45" s="111">
        <f>+G47</f>
        <v>33244467</v>
      </c>
      <c r="J45" s="86"/>
      <c r="K45" s="111">
        <f>+I47</f>
        <v>44072588</v>
      </c>
      <c r="M45" s="88"/>
      <c r="N45" s="4"/>
    </row>
    <row r="46" spans="1:14" x14ac:dyDescent="0.25">
      <c r="B46" s="15"/>
      <c r="C46" s="112"/>
      <c r="E46" s="61"/>
      <c r="F46" s="86"/>
      <c r="G46" s="61"/>
      <c r="H46" s="86"/>
      <c r="I46" s="61"/>
      <c r="J46" s="86"/>
      <c r="K46" s="61"/>
      <c r="M46" s="110"/>
      <c r="N46" s="4"/>
    </row>
    <row r="47" spans="1:14" ht="16.5" thickBot="1" x14ac:dyDescent="0.3">
      <c r="B47" s="15" t="s">
        <v>7</v>
      </c>
      <c r="C47" s="24" t="e">
        <f>+C45+C36</f>
        <v>#REF!</v>
      </c>
      <c r="E47" s="61" t="e">
        <f>E36+E45</f>
        <v>#REF!</v>
      </c>
      <c r="F47" s="86"/>
      <c r="G47" s="113">
        <f>+G45+G43</f>
        <v>33244467</v>
      </c>
      <c r="H47" s="114"/>
      <c r="I47" s="113">
        <f>+I45+I43</f>
        <v>44072588</v>
      </c>
      <c r="J47" s="114"/>
      <c r="K47" s="113">
        <f>+K45+K43</f>
        <v>58637625</v>
      </c>
      <c r="M47" s="110" t="s">
        <v>230</v>
      </c>
      <c r="N47" s="4"/>
    </row>
    <row r="48" spans="1:14" ht="16.5" thickTop="1" x14ac:dyDescent="0.25">
      <c r="B48" s="52"/>
      <c r="C48" s="115"/>
      <c r="E48" s="116"/>
      <c r="G48" s="117"/>
      <c r="I48" s="117"/>
      <c r="K48" s="117"/>
      <c r="M48" s="110"/>
      <c r="N48" s="4"/>
    </row>
    <row r="49" spans="1:20" x14ac:dyDescent="0.25">
      <c r="C49" s="46"/>
      <c r="E49" s="15"/>
      <c r="G49" s="15"/>
      <c r="I49" s="15"/>
      <c r="K49" s="15"/>
      <c r="M49" s="15"/>
    </row>
    <row r="50" spans="1:20" x14ac:dyDescent="0.25">
      <c r="C50" s="19"/>
    </row>
    <row r="51" spans="1:20" x14ac:dyDescent="0.25">
      <c r="C51" s="19"/>
      <c r="K51" s="48" t="s">
        <v>4</v>
      </c>
    </row>
    <row r="52" spans="1:20" s="76" customFormat="1" x14ac:dyDescent="0.25">
      <c r="A52" s="255"/>
      <c r="B52" s="48"/>
      <c r="C52" s="19"/>
      <c r="E52" s="48"/>
      <c r="G52" s="48"/>
      <c r="I52" s="48"/>
      <c r="K52" s="48"/>
      <c r="M52" s="48"/>
      <c r="N52" s="1"/>
      <c r="O52" s="1"/>
      <c r="P52" s="1"/>
      <c r="Q52" s="1"/>
      <c r="R52" s="1"/>
      <c r="S52" s="1"/>
      <c r="T52" s="1"/>
    </row>
    <row r="53" spans="1:20" s="76" customFormat="1" x14ac:dyDescent="0.25">
      <c r="A53" s="255"/>
      <c r="B53" s="48"/>
      <c r="C53" s="19"/>
      <c r="E53" s="48"/>
      <c r="G53" s="48"/>
      <c r="I53" s="48"/>
      <c r="K53" s="48"/>
      <c r="M53" s="48"/>
      <c r="N53" s="1"/>
      <c r="O53" s="1"/>
      <c r="P53" s="1"/>
      <c r="Q53" s="1"/>
      <c r="R53" s="1"/>
      <c r="S53" s="1"/>
      <c r="T53" s="1"/>
    </row>
    <row r="54" spans="1:20" s="76" customFormat="1" x14ac:dyDescent="0.25">
      <c r="A54" s="255"/>
      <c r="B54" s="48"/>
      <c r="C54" s="19"/>
      <c r="E54" s="48"/>
      <c r="G54" s="48"/>
      <c r="I54" s="48"/>
      <c r="K54" s="48"/>
      <c r="M54" s="48"/>
      <c r="N54" s="1"/>
      <c r="O54" s="1"/>
      <c r="P54" s="1"/>
      <c r="Q54" s="1"/>
      <c r="R54" s="1"/>
      <c r="S54" s="1"/>
      <c r="T54" s="1"/>
    </row>
    <row r="55" spans="1:20" s="76" customFormat="1" x14ac:dyDescent="0.25">
      <c r="A55" s="255"/>
      <c r="B55" s="48"/>
      <c r="C55" s="19"/>
      <c r="E55" s="48"/>
      <c r="G55" s="48"/>
      <c r="I55" s="48"/>
      <c r="K55" s="48"/>
      <c r="M55" s="48"/>
      <c r="N55" s="1"/>
      <c r="O55" s="1"/>
      <c r="P55" s="1"/>
      <c r="Q55" s="1"/>
      <c r="R55" s="1"/>
      <c r="S55" s="1"/>
      <c r="T55" s="1"/>
    </row>
    <row r="56" spans="1:20" s="76" customFormat="1" x14ac:dyDescent="0.25">
      <c r="A56" s="255"/>
      <c r="B56" s="48"/>
      <c r="C56" s="19"/>
      <c r="E56" s="48"/>
      <c r="G56" s="48"/>
      <c r="I56" s="48"/>
      <c r="K56" s="48"/>
      <c r="M56" s="48"/>
      <c r="N56" s="1"/>
      <c r="O56" s="1"/>
      <c r="P56" s="1"/>
      <c r="Q56" s="1"/>
      <c r="R56" s="1"/>
      <c r="S56" s="1"/>
      <c r="T56" s="1"/>
    </row>
  </sheetData>
  <mergeCells count="3">
    <mergeCell ref="B1:M1"/>
    <mergeCell ref="B2:M2"/>
    <mergeCell ref="B3:M3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41" workbookViewId="0">
      <selection activeCell="O50" sqref="O50"/>
    </sheetView>
  </sheetViews>
  <sheetFormatPr defaultRowHeight="15" x14ac:dyDescent="0.25"/>
  <cols>
    <col min="1" max="1" width="3.140625" customWidth="1"/>
    <col min="2" max="2" width="21.42578125" style="202" customWidth="1"/>
    <col min="3" max="3" width="10.5703125" hidden="1" customWidth="1"/>
    <col min="4" max="4" width="12.5703125" customWidth="1"/>
    <col min="5" max="5" width="16.85546875" bestFit="1" customWidth="1"/>
    <col min="6" max="6" width="15.140625" bestFit="1" customWidth="1"/>
    <col min="7" max="8" width="14.7109375" bestFit="1" customWidth="1"/>
    <col min="9" max="9" width="15.85546875" bestFit="1" customWidth="1"/>
    <col min="10" max="10" width="15.85546875" style="253" bestFit="1" customWidth="1"/>
  </cols>
  <sheetData>
    <row r="1" spans="1:10" ht="18.75" x14ac:dyDescent="0.3">
      <c r="A1" s="378" t="s">
        <v>101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0" ht="18.75" x14ac:dyDescent="0.3">
      <c r="A2" s="378" t="s">
        <v>195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18.75" x14ac:dyDescent="0.3">
      <c r="A3" s="378" t="s">
        <v>241</v>
      </c>
      <c r="B3" s="378"/>
      <c r="C3" s="378"/>
      <c r="D3" s="378"/>
      <c r="E3" s="378"/>
      <c r="F3" s="378"/>
      <c r="G3" s="378"/>
      <c r="H3" s="378"/>
      <c r="I3" s="378"/>
      <c r="J3" s="378"/>
    </row>
    <row r="4" spans="1:10" ht="18.75" x14ac:dyDescent="0.3">
      <c r="A4" s="376" t="s">
        <v>4</v>
      </c>
      <c r="B4" s="376"/>
      <c r="C4" s="376"/>
      <c r="D4" s="376"/>
      <c r="E4" s="376"/>
      <c r="F4" s="376"/>
      <c r="G4" s="376"/>
      <c r="H4" s="211"/>
      <c r="I4" s="211"/>
      <c r="J4" s="211"/>
    </row>
    <row r="5" spans="1:10" ht="64.5" thickBot="1" x14ac:dyDescent="0.35">
      <c r="A5" s="212"/>
      <c r="B5" s="164"/>
      <c r="C5" s="210" t="s">
        <v>162</v>
      </c>
      <c r="D5" s="160"/>
      <c r="E5" s="251" t="s">
        <v>254</v>
      </c>
      <c r="F5" s="251" t="s">
        <v>255</v>
      </c>
      <c r="G5" s="251" t="s">
        <v>256</v>
      </c>
      <c r="H5" s="271" t="s">
        <v>196</v>
      </c>
      <c r="I5" s="251" t="s">
        <v>197</v>
      </c>
      <c r="J5" s="251" t="s">
        <v>197</v>
      </c>
    </row>
    <row r="6" spans="1:10" ht="16.5" thickBot="1" x14ac:dyDescent="0.3">
      <c r="A6" s="213" t="s">
        <v>242</v>
      </c>
      <c r="B6" s="219"/>
      <c r="C6" s="214"/>
      <c r="D6" s="215"/>
      <c r="E6" s="216">
        <v>0.47</v>
      </c>
      <c r="F6" s="216">
        <v>0.5</v>
      </c>
      <c r="G6" s="216">
        <v>0.5</v>
      </c>
      <c r="H6" s="272">
        <v>0.5</v>
      </c>
      <c r="I6" s="216">
        <v>0.5</v>
      </c>
      <c r="J6" s="216">
        <v>0.5</v>
      </c>
    </row>
    <row r="7" spans="1:10" ht="15.75" x14ac:dyDescent="0.25">
      <c r="A7" s="162"/>
      <c r="B7" s="219"/>
      <c r="C7" s="215"/>
      <c r="D7" s="215"/>
      <c r="E7" s="215"/>
      <c r="F7" s="215"/>
      <c r="G7" s="215"/>
      <c r="H7" s="273"/>
      <c r="I7" s="215"/>
      <c r="J7" s="215"/>
    </row>
    <row r="8" spans="1:10" ht="15.75" x14ac:dyDescent="0.25">
      <c r="A8" s="217" t="s">
        <v>194</v>
      </c>
      <c r="B8" s="245"/>
      <c r="C8" s="219"/>
      <c r="D8" s="201"/>
      <c r="E8" s="219"/>
      <c r="F8" s="219"/>
      <c r="G8" s="219"/>
      <c r="H8" s="273"/>
      <c r="I8" s="219"/>
      <c r="J8" s="219"/>
    </row>
    <row r="9" spans="1:10" ht="15.75" x14ac:dyDescent="0.25">
      <c r="A9" s="212"/>
      <c r="B9" s="219" t="s">
        <v>163</v>
      </c>
      <c r="C9" s="220">
        <f>SUM('[1]Debt Service'!C8)</f>
        <v>0</v>
      </c>
      <c r="D9" s="220"/>
      <c r="E9" s="220">
        <v>53982206</v>
      </c>
      <c r="F9" s="220">
        <v>58607229</v>
      </c>
      <c r="G9" s="220">
        <v>68157968</v>
      </c>
      <c r="H9" s="274">
        <v>73965846</v>
      </c>
      <c r="I9" s="220">
        <v>56204397</v>
      </c>
      <c r="J9" s="220">
        <v>56204397</v>
      </c>
    </row>
    <row r="10" spans="1:10" ht="15.75" x14ac:dyDescent="0.25">
      <c r="A10" s="212"/>
      <c r="B10" s="219" t="s">
        <v>164</v>
      </c>
      <c r="C10" s="221">
        <f>SUM('[1]Debt Service'!C10)</f>
        <v>0</v>
      </c>
      <c r="D10" s="222"/>
      <c r="E10" s="225">
        <v>3923721</v>
      </c>
      <c r="F10" s="225">
        <v>0</v>
      </c>
      <c r="G10" s="225"/>
      <c r="H10" s="275"/>
      <c r="I10" s="225"/>
      <c r="J10" s="225"/>
    </row>
    <row r="11" spans="1:10" ht="15.75" hidden="1" x14ac:dyDescent="0.25">
      <c r="A11" s="212"/>
      <c r="B11" s="219" t="s">
        <v>165</v>
      </c>
      <c r="C11" s="223">
        <v>0</v>
      </c>
      <c r="D11" s="224"/>
      <c r="E11" s="223">
        <v>0</v>
      </c>
      <c r="F11" s="223">
        <v>0</v>
      </c>
      <c r="G11" s="223">
        <v>0</v>
      </c>
      <c r="H11" s="276">
        <v>0</v>
      </c>
      <c r="I11" s="223">
        <v>0</v>
      </c>
      <c r="J11" s="223">
        <v>0</v>
      </c>
    </row>
    <row r="12" spans="1:10" ht="15.75" hidden="1" x14ac:dyDescent="0.25">
      <c r="A12" s="212"/>
      <c r="B12" s="219" t="s">
        <v>166</v>
      </c>
      <c r="C12" s="225">
        <v>0</v>
      </c>
      <c r="D12" s="224"/>
      <c r="E12" s="225">
        <v>0</v>
      </c>
      <c r="F12" s="225">
        <v>0</v>
      </c>
      <c r="G12" s="225">
        <v>0</v>
      </c>
      <c r="H12" s="275">
        <v>0</v>
      </c>
      <c r="I12" s="225">
        <v>0</v>
      </c>
      <c r="J12" s="225">
        <v>0</v>
      </c>
    </row>
    <row r="13" spans="1:10" ht="31.5" x14ac:dyDescent="0.25">
      <c r="A13" s="218"/>
      <c r="B13" s="226" t="s">
        <v>167</v>
      </c>
      <c r="C13" s="227">
        <f>SUM(C9:C12)</f>
        <v>0</v>
      </c>
      <c r="D13" s="228"/>
      <c r="E13" s="227">
        <f t="shared" ref="E13:J13" si="0">SUM(E9:E12)</f>
        <v>57905927</v>
      </c>
      <c r="F13" s="227">
        <f t="shared" si="0"/>
        <v>58607229</v>
      </c>
      <c r="G13" s="227">
        <f t="shared" si="0"/>
        <v>68157968</v>
      </c>
      <c r="H13" s="277">
        <f t="shared" si="0"/>
        <v>73965846</v>
      </c>
      <c r="I13" s="227">
        <f t="shared" si="0"/>
        <v>56204397</v>
      </c>
      <c r="J13" s="227">
        <f t="shared" si="0"/>
        <v>56204397</v>
      </c>
    </row>
    <row r="14" spans="1:10" ht="15.75" x14ac:dyDescent="0.25">
      <c r="A14" s="212"/>
      <c r="B14" s="219"/>
      <c r="C14" s="229"/>
      <c r="D14" s="229"/>
      <c r="E14" s="229"/>
      <c r="F14" s="229"/>
      <c r="G14" s="229"/>
      <c r="H14" s="278"/>
      <c r="I14" s="229"/>
      <c r="J14" s="229"/>
    </row>
    <row r="15" spans="1:10" ht="15.75" x14ac:dyDescent="0.25">
      <c r="A15" s="217" t="s">
        <v>168</v>
      </c>
      <c r="B15" s="245"/>
      <c r="C15" s="230"/>
      <c r="D15" s="229"/>
      <c r="E15" s="230"/>
      <c r="F15" s="230"/>
      <c r="G15" s="230"/>
      <c r="H15" s="278"/>
      <c r="I15" s="230"/>
      <c r="J15" s="230"/>
    </row>
    <row r="16" spans="1:10" ht="15.75" hidden="1" x14ac:dyDescent="0.25">
      <c r="A16" s="212">
        <v>11</v>
      </c>
      <c r="B16" s="219" t="s">
        <v>41</v>
      </c>
      <c r="C16" s="220">
        <v>0</v>
      </c>
      <c r="D16" s="228"/>
      <c r="E16" s="220">
        <v>0</v>
      </c>
      <c r="F16" s="220">
        <v>0</v>
      </c>
      <c r="G16" s="220">
        <v>0</v>
      </c>
      <c r="H16" s="274">
        <v>0</v>
      </c>
      <c r="I16" s="220">
        <v>0</v>
      </c>
      <c r="J16" s="220">
        <v>0</v>
      </c>
    </row>
    <row r="17" spans="1:10" ht="15.75" hidden="1" x14ac:dyDescent="0.25">
      <c r="A17" s="212">
        <v>12</v>
      </c>
      <c r="B17" s="219" t="s">
        <v>169</v>
      </c>
      <c r="C17" s="221">
        <v>0</v>
      </c>
      <c r="D17" s="224"/>
      <c r="E17" s="221">
        <v>0</v>
      </c>
      <c r="F17" s="221">
        <v>0</v>
      </c>
      <c r="G17" s="221">
        <v>0</v>
      </c>
      <c r="H17" s="276">
        <v>0</v>
      </c>
      <c r="I17" s="221">
        <v>0</v>
      </c>
      <c r="J17" s="221">
        <v>0</v>
      </c>
    </row>
    <row r="18" spans="1:10" ht="15.75" hidden="1" x14ac:dyDescent="0.25">
      <c r="A18" s="212">
        <v>13</v>
      </c>
      <c r="B18" s="219" t="s">
        <v>170</v>
      </c>
      <c r="C18" s="222">
        <v>0</v>
      </c>
      <c r="D18" s="224"/>
      <c r="E18" s="222">
        <v>0</v>
      </c>
      <c r="F18" s="222">
        <v>0</v>
      </c>
      <c r="G18" s="222">
        <v>0</v>
      </c>
      <c r="H18" s="279">
        <v>0</v>
      </c>
      <c r="I18" s="222">
        <v>0</v>
      </c>
      <c r="J18" s="222">
        <v>0</v>
      </c>
    </row>
    <row r="19" spans="1:10" ht="15.75" hidden="1" x14ac:dyDescent="0.25">
      <c r="A19" s="212">
        <v>21</v>
      </c>
      <c r="B19" s="219" t="s">
        <v>171</v>
      </c>
      <c r="C19" s="221">
        <v>0</v>
      </c>
      <c r="D19" s="224"/>
      <c r="E19" s="221">
        <v>0</v>
      </c>
      <c r="F19" s="221">
        <v>0</v>
      </c>
      <c r="G19" s="221">
        <v>0</v>
      </c>
      <c r="H19" s="276">
        <v>0</v>
      </c>
      <c r="I19" s="221">
        <v>0</v>
      </c>
      <c r="J19" s="221">
        <v>0</v>
      </c>
    </row>
    <row r="20" spans="1:10" ht="15.75" hidden="1" x14ac:dyDescent="0.25">
      <c r="A20" s="212">
        <v>23</v>
      </c>
      <c r="B20" s="219" t="s">
        <v>172</v>
      </c>
      <c r="C20" s="221">
        <v>0</v>
      </c>
      <c r="D20" s="224"/>
      <c r="E20" s="221">
        <v>0</v>
      </c>
      <c r="F20" s="221">
        <v>0</v>
      </c>
      <c r="G20" s="221">
        <v>0</v>
      </c>
      <c r="H20" s="276">
        <v>0</v>
      </c>
      <c r="I20" s="221">
        <v>0</v>
      </c>
      <c r="J20" s="221">
        <v>0</v>
      </c>
    </row>
    <row r="21" spans="1:10" ht="15.75" hidden="1" x14ac:dyDescent="0.25">
      <c r="A21" s="212">
        <v>31</v>
      </c>
      <c r="B21" s="219" t="s">
        <v>173</v>
      </c>
      <c r="C21" s="221">
        <v>0</v>
      </c>
      <c r="D21" s="224"/>
      <c r="E21" s="221">
        <v>0</v>
      </c>
      <c r="F21" s="221">
        <v>0</v>
      </c>
      <c r="G21" s="221">
        <v>0</v>
      </c>
      <c r="H21" s="276">
        <v>0</v>
      </c>
      <c r="I21" s="221">
        <v>0</v>
      </c>
      <c r="J21" s="221">
        <v>0</v>
      </c>
    </row>
    <row r="22" spans="1:10" ht="15.75" hidden="1" x14ac:dyDescent="0.25">
      <c r="A22" s="212">
        <v>32</v>
      </c>
      <c r="B22" s="219" t="s">
        <v>174</v>
      </c>
      <c r="C22" s="221"/>
      <c r="D22" s="224"/>
      <c r="E22" s="221"/>
      <c r="F22" s="221"/>
      <c r="G22" s="221"/>
      <c r="H22" s="276"/>
      <c r="I22" s="221"/>
      <c r="J22" s="221"/>
    </row>
    <row r="23" spans="1:10" ht="15.75" hidden="1" x14ac:dyDescent="0.25">
      <c r="A23" s="212">
        <v>33</v>
      </c>
      <c r="B23" s="219" t="s">
        <v>175</v>
      </c>
      <c r="C23" s="221">
        <v>0</v>
      </c>
      <c r="D23" s="224"/>
      <c r="E23" s="221">
        <v>0</v>
      </c>
      <c r="F23" s="221">
        <v>0</v>
      </c>
      <c r="G23" s="221">
        <v>0</v>
      </c>
      <c r="H23" s="276">
        <v>0</v>
      </c>
      <c r="I23" s="221">
        <v>0</v>
      </c>
      <c r="J23" s="221">
        <v>0</v>
      </c>
    </row>
    <row r="24" spans="1:10" ht="15.75" hidden="1" x14ac:dyDescent="0.25">
      <c r="A24" s="212">
        <v>34</v>
      </c>
      <c r="B24" s="219" t="s">
        <v>123</v>
      </c>
      <c r="C24" s="221">
        <v>0</v>
      </c>
      <c r="D24" s="224"/>
      <c r="E24" s="221">
        <v>0</v>
      </c>
      <c r="F24" s="221">
        <v>0</v>
      </c>
      <c r="G24" s="221">
        <v>0</v>
      </c>
      <c r="H24" s="276">
        <v>0</v>
      </c>
      <c r="I24" s="221">
        <v>0</v>
      </c>
      <c r="J24" s="221">
        <v>0</v>
      </c>
    </row>
    <row r="25" spans="1:10" ht="15.75" hidden="1" x14ac:dyDescent="0.25">
      <c r="A25" s="212">
        <v>35</v>
      </c>
      <c r="B25" s="219" t="s">
        <v>176</v>
      </c>
      <c r="C25" s="222">
        <v>0</v>
      </c>
      <c r="D25" s="223"/>
      <c r="E25" s="222">
        <v>0</v>
      </c>
      <c r="F25" s="222">
        <v>0</v>
      </c>
      <c r="G25" s="222">
        <v>0</v>
      </c>
      <c r="H25" s="279">
        <v>0</v>
      </c>
      <c r="I25" s="222">
        <v>0</v>
      </c>
      <c r="J25" s="222">
        <v>0</v>
      </c>
    </row>
    <row r="26" spans="1:10" ht="15.75" hidden="1" x14ac:dyDescent="0.25">
      <c r="A26" s="212">
        <v>36</v>
      </c>
      <c r="B26" s="219" t="s">
        <v>177</v>
      </c>
      <c r="C26" s="221">
        <v>0</v>
      </c>
      <c r="D26" s="224"/>
      <c r="E26" s="221">
        <v>0</v>
      </c>
      <c r="F26" s="221">
        <v>0</v>
      </c>
      <c r="G26" s="221">
        <v>0</v>
      </c>
      <c r="H26" s="276">
        <v>0</v>
      </c>
      <c r="I26" s="221">
        <v>0</v>
      </c>
      <c r="J26" s="221">
        <v>0</v>
      </c>
    </row>
    <row r="27" spans="1:10" ht="15.75" hidden="1" x14ac:dyDescent="0.25">
      <c r="A27" s="212">
        <v>41</v>
      </c>
      <c r="B27" s="247" t="s">
        <v>178</v>
      </c>
      <c r="C27" s="221">
        <v>0</v>
      </c>
      <c r="D27" s="224"/>
      <c r="E27" s="221">
        <v>0</v>
      </c>
      <c r="F27" s="221">
        <v>0</v>
      </c>
      <c r="G27" s="221">
        <v>0</v>
      </c>
      <c r="H27" s="276">
        <v>0</v>
      </c>
      <c r="I27" s="221">
        <v>0</v>
      </c>
      <c r="J27" s="221">
        <v>0</v>
      </c>
    </row>
    <row r="28" spans="1:10" ht="15.75" hidden="1" x14ac:dyDescent="0.25">
      <c r="A28" s="212">
        <v>51</v>
      </c>
      <c r="B28" s="247" t="s">
        <v>179</v>
      </c>
      <c r="C28" s="221">
        <v>0</v>
      </c>
      <c r="D28" s="224"/>
      <c r="E28" s="221">
        <v>0</v>
      </c>
      <c r="F28" s="221">
        <v>0</v>
      </c>
      <c r="G28" s="221">
        <v>0</v>
      </c>
      <c r="H28" s="276">
        <v>0</v>
      </c>
      <c r="I28" s="221">
        <v>0</v>
      </c>
      <c r="J28" s="221">
        <v>0</v>
      </c>
    </row>
    <row r="29" spans="1:10" ht="15.75" hidden="1" x14ac:dyDescent="0.25">
      <c r="A29" s="212">
        <v>52</v>
      </c>
      <c r="B29" s="247" t="s">
        <v>180</v>
      </c>
      <c r="C29" s="221">
        <v>0</v>
      </c>
      <c r="D29" s="224"/>
      <c r="E29" s="221">
        <v>0</v>
      </c>
      <c r="F29" s="221">
        <v>0</v>
      </c>
      <c r="G29" s="221">
        <v>0</v>
      </c>
      <c r="H29" s="276">
        <v>0</v>
      </c>
      <c r="I29" s="221">
        <v>0</v>
      </c>
      <c r="J29" s="221">
        <v>0</v>
      </c>
    </row>
    <row r="30" spans="1:10" ht="15.75" hidden="1" x14ac:dyDescent="0.25">
      <c r="A30" s="212">
        <v>53</v>
      </c>
      <c r="B30" s="247" t="s">
        <v>181</v>
      </c>
      <c r="C30" s="221">
        <v>0</v>
      </c>
      <c r="D30" s="224"/>
      <c r="E30" s="221">
        <v>0</v>
      </c>
      <c r="F30" s="221">
        <v>0</v>
      </c>
      <c r="G30" s="221">
        <v>0</v>
      </c>
      <c r="H30" s="276">
        <v>0</v>
      </c>
      <c r="I30" s="221">
        <v>0</v>
      </c>
      <c r="J30" s="221">
        <v>0</v>
      </c>
    </row>
    <row r="31" spans="1:10" ht="15.75" hidden="1" x14ac:dyDescent="0.25">
      <c r="A31" s="212">
        <v>61</v>
      </c>
      <c r="B31" s="247" t="s">
        <v>182</v>
      </c>
      <c r="C31" s="221">
        <v>0</v>
      </c>
      <c r="D31" s="224"/>
      <c r="E31" s="221">
        <v>0</v>
      </c>
      <c r="F31" s="221">
        <v>0</v>
      </c>
      <c r="G31" s="221">
        <v>0</v>
      </c>
      <c r="H31" s="276">
        <v>0</v>
      </c>
      <c r="I31" s="221">
        <v>0</v>
      </c>
      <c r="J31" s="221">
        <v>0</v>
      </c>
    </row>
    <row r="32" spans="1:10" ht="15.75" x14ac:dyDescent="0.25">
      <c r="A32" s="212">
        <v>71</v>
      </c>
      <c r="B32" s="247" t="s">
        <v>183</v>
      </c>
      <c r="C32" s="222">
        <f>SUM('[1]Debt Service'!C14)</f>
        <v>0</v>
      </c>
      <c r="D32" s="224"/>
      <c r="E32" s="222">
        <v>23070000</v>
      </c>
      <c r="F32" s="222">
        <v>22780000</v>
      </c>
      <c r="G32" s="222">
        <v>23745000</v>
      </c>
      <c r="H32" s="279">
        <v>25940000</v>
      </c>
      <c r="I32" s="222">
        <v>28200000</v>
      </c>
      <c r="J32" s="222">
        <v>28325000</v>
      </c>
    </row>
    <row r="33" spans="1:10" ht="15.75" x14ac:dyDescent="0.25">
      <c r="A33" s="212">
        <v>71</v>
      </c>
      <c r="B33" s="247" t="s">
        <v>184</v>
      </c>
      <c r="C33" s="222">
        <f>SUM('[1]Debt Service'!C15)</f>
        <v>0</v>
      </c>
      <c r="D33" s="224"/>
      <c r="E33" s="222">
        <v>32892179</v>
      </c>
      <c r="F33" s="222">
        <v>33102772</v>
      </c>
      <c r="G33" s="222">
        <v>33384847</v>
      </c>
      <c r="H33" s="279">
        <v>32330809</v>
      </c>
      <c r="I33" s="222">
        <v>31096949</v>
      </c>
      <c r="J33" s="222">
        <v>31239236</v>
      </c>
    </row>
    <row r="34" spans="1:10" ht="15.75" x14ac:dyDescent="0.25">
      <c r="A34" s="212">
        <v>71</v>
      </c>
      <c r="B34" s="247" t="s">
        <v>185</v>
      </c>
      <c r="C34" s="222">
        <v>10000</v>
      </c>
      <c r="D34" s="224"/>
      <c r="E34" s="222">
        <v>370108</v>
      </c>
      <c r="F34" s="222">
        <v>30000</v>
      </c>
      <c r="G34" s="222">
        <v>200000</v>
      </c>
      <c r="H34" s="279">
        <v>30000</v>
      </c>
      <c r="I34" s="222">
        <v>30000</v>
      </c>
      <c r="J34" s="222">
        <v>10000</v>
      </c>
    </row>
    <row r="35" spans="1:10" ht="15.75" hidden="1" x14ac:dyDescent="0.25">
      <c r="A35" s="212">
        <v>91</v>
      </c>
      <c r="B35" s="247" t="s">
        <v>186</v>
      </c>
      <c r="C35" s="221">
        <v>0</v>
      </c>
      <c r="D35" s="224"/>
      <c r="E35" s="221">
        <v>0</v>
      </c>
      <c r="F35" s="221">
        <v>0</v>
      </c>
      <c r="G35" s="221">
        <v>0</v>
      </c>
      <c r="H35" s="276">
        <v>0</v>
      </c>
      <c r="I35" s="221">
        <v>0</v>
      </c>
      <c r="J35" s="221">
        <v>0</v>
      </c>
    </row>
    <row r="36" spans="1:10" ht="15.75" hidden="1" x14ac:dyDescent="0.25">
      <c r="A36" s="212">
        <v>95</v>
      </c>
      <c r="B36" s="247" t="s">
        <v>187</v>
      </c>
      <c r="C36" s="221">
        <v>0</v>
      </c>
      <c r="D36" s="224"/>
      <c r="E36" s="221">
        <v>0</v>
      </c>
      <c r="F36" s="221">
        <v>0</v>
      </c>
      <c r="G36" s="221">
        <v>0</v>
      </c>
      <c r="H36" s="276">
        <v>0</v>
      </c>
      <c r="I36" s="221">
        <v>0</v>
      </c>
      <c r="J36" s="221">
        <v>0</v>
      </c>
    </row>
    <row r="37" spans="1:10" ht="15.75" hidden="1" x14ac:dyDescent="0.25">
      <c r="A37" s="212">
        <v>99</v>
      </c>
      <c r="B37" s="247" t="s">
        <v>42</v>
      </c>
      <c r="C37" s="231">
        <v>0</v>
      </c>
      <c r="D37" s="232"/>
      <c r="E37" s="231">
        <v>0</v>
      </c>
      <c r="F37" s="231">
        <v>0</v>
      </c>
      <c r="G37" s="231">
        <v>0</v>
      </c>
      <c r="H37" s="280">
        <v>0</v>
      </c>
      <c r="I37" s="231">
        <v>0</v>
      </c>
      <c r="J37" s="231">
        <v>0</v>
      </c>
    </row>
    <row r="38" spans="1:10" ht="15.75" x14ac:dyDescent="0.25">
      <c r="A38" s="212"/>
      <c r="B38" s="246" t="s">
        <v>188</v>
      </c>
      <c r="C38" s="233">
        <f>SUM(C32:C34)</f>
        <v>10000</v>
      </c>
      <c r="D38" s="228"/>
      <c r="E38" s="233">
        <f t="shared" ref="E38:J38" si="1">SUM(E32:E34)</f>
        <v>56332287</v>
      </c>
      <c r="F38" s="233">
        <f t="shared" si="1"/>
        <v>55912772</v>
      </c>
      <c r="G38" s="233">
        <f t="shared" si="1"/>
        <v>57329847</v>
      </c>
      <c r="H38" s="281">
        <f t="shared" si="1"/>
        <v>58300809</v>
      </c>
      <c r="I38" s="233">
        <f t="shared" si="1"/>
        <v>59326949</v>
      </c>
      <c r="J38" s="233">
        <f t="shared" si="1"/>
        <v>59574236</v>
      </c>
    </row>
    <row r="39" spans="1:10" ht="15.75" x14ac:dyDescent="0.25">
      <c r="A39" s="212"/>
      <c r="B39" s="217"/>
      <c r="C39" s="229"/>
      <c r="D39" s="229"/>
      <c r="E39" s="229"/>
      <c r="F39" s="229"/>
      <c r="G39" s="229"/>
      <c r="H39" s="278"/>
      <c r="I39" s="229"/>
      <c r="J39" s="229"/>
    </row>
    <row r="40" spans="1:10" ht="16.5" thickBot="1" x14ac:dyDescent="0.3">
      <c r="A40" s="217" t="s">
        <v>189</v>
      </c>
      <c r="B40" s="245"/>
      <c r="C40" s="234">
        <f>SUM(C13-C38)</f>
        <v>-10000</v>
      </c>
      <c r="D40" s="235"/>
      <c r="E40" s="235">
        <f t="shared" ref="E40:J40" si="2">SUM(E13-E38)</f>
        <v>1573640</v>
      </c>
      <c r="F40" s="235">
        <f t="shared" si="2"/>
        <v>2694457</v>
      </c>
      <c r="G40" s="235">
        <f t="shared" si="2"/>
        <v>10828121</v>
      </c>
      <c r="H40" s="282">
        <f t="shared" si="2"/>
        <v>15665037</v>
      </c>
      <c r="I40" s="235">
        <f t="shared" si="2"/>
        <v>-3122552</v>
      </c>
      <c r="J40" s="235">
        <f t="shared" si="2"/>
        <v>-3369839</v>
      </c>
    </row>
    <row r="41" spans="1:10" s="253" customFormat="1" ht="16.5" thickTop="1" x14ac:dyDescent="0.25">
      <c r="A41" s="217"/>
      <c r="B41" s="245"/>
      <c r="C41" s="235"/>
      <c r="D41" s="235"/>
      <c r="E41" s="235"/>
      <c r="F41" s="235"/>
      <c r="G41" s="235"/>
      <c r="H41" s="282"/>
      <c r="I41" s="235"/>
      <c r="J41" s="235"/>
    </row>
    <row r="42" spans="1:10" s="253" customFormat="1" ht="15.75" x14ac:dyDescent="0.25">
      <c r="A42" s="217" t="s">
        <v>260</v>
      </c>
      <c r="B42" s="245"/>
      <c r="C42" s="235"/>
      <c r="D42" s="235"/>
      <c r="E42" s="235"/>
      <c r="F42" s="235"/>
      <c r="G42" s="235"/>
      <c r="H42" s="282"/>
      <c r="I42" s="235"/>
      <c r="J42" s="235"/>
    </row>
    <row r="43" spans="1:10" s="253" customFormat="1" ht="15.75" x14ac:dyDescent="0.25">
      <c r="A43" s="217"/>
      <c r="B43" s="201" t="s">
        <v>257</v>
      </c>
      <c r="C43" s="235"/>
      <c r="D43" s="235"/>
      <c r="E43" s="235">
        <v>38177652</v>
      </c>
      <c r="F43" s="235"/>
      <c r="G43" s="235"/>
      <c r="H43" s="282"/>
      <c r="I43" s="235"/>
      <c r="J43" s="235"/>
    </row>
    <row r="44" spans="1:10" s="253" customFormat="1" ht="15.75" x14ac:dyDescent="0.25">
      <c r="A44" s="217"/>
      <c r="B44" s="201" t="s">
        <v>258</v>
      </c>
      <c r="C44" s="235"/>
      <c r="D44" s="235"/>
      <c r="E44" s="290">
        <v>-37821253</v>
      </c>
      <c r="F44" s="288"/>
      <c r="G44" s="288"/>
      <c r="H44" s="289"/>
      <c r="I44" s="288"/>
      <c r="J44" s="288"/>
    </row>
    <row r="45" spans="1:10" s="253" customFormat="1" ht="33" customHeight="1" x14ac:dyDescent="0.25">
      <c r="A45" s="379" t="s">
        <v>259</v>
      </c>
      <c r="B45" s="379"/>
      <c r="C45" s="379"/>
      <c r="D45" s="379"/>
      <c r="E45" s="291">
        <f t="shared" ref="E45:J45" si="3">SUM(E43:E44)</f>
        <v>356399</v>
      </c>
      <c r="F45" s="291">
        <f t="shared" si="3"/>
        <v>0</v>
      </c>
      <c r="G45" s="291">
        <f t="shared" si="3"/>
        <v>0</v>
      </c>
      <c r="H45" s="294">
        <f t="shared" si="3"/>
        <v>0</v>
      </c>
      <c r="I45" s="291">
        <f t="shared" si="3"/>
        <v>0</v>
      </c>
      <c r="J45" s="291">
        <f t="shared" si="3"/>
        <v>0</v>
      </c>
    </row>
    <row r="46" spans="1:10" ht="15.75" x14ac:dyDescent="0.25">
      <c r="A46" s="217" t="s">
        <v>261</v>
      </c>
      <c r="B46" s="245"/>
      <c r="C46" s="235"/>
      <c r="D46" s="235"/>
      <c r="E46" s="235">
        <f t="shared" ref="E46:J46" si="4">SUM(E40+E45)</f>
        <v>1930039</v>
      </c>
      <c r="F46" s="235">
        <f t="shared" si="4"/>
        <v>2694457</v>
      </c>
      <c r="G46" s="235">
        <f t="shared" si="4"/>
        <v>10828121</v>
      </c>
      <c r="H46" s="360">
        <f t="shared" si="4"/>
        <v>15665037</v>
      </c>
      <c r="I46" s="235">
        <f t="shared" si="4"/>
        <v>-3122552</v>
      </c>
      <c r="J46" s="235">
        <f t="shared" si="4"/>
        <v>-3369839</v>
      </c>
    </row>
    <row r="47" spans="1:10" s="253" customFormat="1" ht="15.75" x14ac:dyDescent="0.25">
      <c r="A47" s="217"/>
      <c r="B47" s="245"/>
      <c r="C47" s="235"/>
      <c r="D47" s="235"/>
      <c r="E47" s="235"/>
      <c r="F47" s="235"/>
      <c r="G47" s="235"/>
      <c r="H47" s="282"/>
      <c r="I47" s="235"/>
      <c r="J47" s="235"/>
    </row>
    <row r="48" spans="1:10" ht="15.75" x14ac:dyDescent="0.25">
      <c r="A48" s="213" t="s">
        <v>190</v>
      </c>
      <c r="B48" s="245"/>
      <c r="C48" s="237"/>
      <c r="D48" s="238"/>
      <c r="E48" s="292">
        <v>27198818</v>
      </c>
      <c r="F48" s="292">
        <f>SUM(E50)</f>
        <v>29128857</v>
      </c>
      <c r="G48" s="292">
        <f>SUM(F50)</f>
        <v>34517771</v>
      </c>
      <c r="H48" s="293">
        <f>SUM(G50)</f>
        <v>56174013</v>
      </c>
      <c r="I48" s="292">
        <f>SUM(H50)</f>
        <v>87504087</v>
      </c>
      <c r="J48" s="292">
        <f>SUM(I50)</f>
        <v>81258983</v>
      </c>
    </row>
    <row r="49" spans="1:12" ht="15.75" x14ac:dyDescent="0.25">
      <c r="A49" s="239"/>
      <c r="B49" s="248"/>
      <c r="C49" s="236"/>
      <c r="D49" s="157"/>
      <c r="E49" s="240"/>
      <c r="F49" s="240"/>
      <c r="G49" s="240"/>
      <c r="H49" s="283"/>
      <c r="I49" s="240"/>
      <c r="J49" s="240"/>
    </row>
    <row r="50" spans="1:12" ht="16.5" thickBot="1" x14ac:dyDescent="0.3">
      <c r="A50" s="239" t="s">
        <v>191</v>
      </c>
      <c r="B50" s="248"/>
      <c r="C50" s="241"/>
      <c r="D50" s="242"/>
      <c r="E50" s="243">
        <f>SUM(E46:E48)</f>
        <v>29128857</v>
      </c>
      <c r="F50" s="243">
        <f>SUM(F40:F48)</f>
        <v>34517771</v>
      </c>
      <c r="G50" s="243">
        <f>SUM(G40:G48)</f>
        <v>56174013</v>
      </c>
      <c r="H50" s="284">
        <f>SUM(H40:H48)</f>
        <v>87504087</v>
      </c>
      <c r="I50" s="243">
        <f>SUM(I40:I48)</f>
        <v>81258983</v>
      </c>
      <c r="J50" s="243">
        <f>SUM(J40:J48)</f>
        <v>74519305</v>
      </c>
    </row>
    <row r="51" spans="1:12" ht="16.5" thickTop="1" x14ac:dyDescent="0.25">
      <c r="A51" s="236"/>
      <c r="B51" s="248"/>
      <c r="C51" s="236"/>
      <c r="D51" s="157"/>
      <c r="E51" s="240"/>
      <c r="F51" s="240"/>
      <c r="G51" s="240"/>
      <c r="H51" s="283"/>
      <c r="I51" s="240"/>
      <c r="J51" s="240"/>
    </row>
    <row r="52" spans="1:12" ht="15.75" x14ac:dyDescent="0.25">
      <c r="A52" s="236"/>
      <c r="B52" s="248" t="s">
        <v>192</v>
      </c>
      <c r="C52" s="244"/>
      <c r="D52" s="162"/>
      <c r="E52" s="249">
        <v>16611104</v>
      </c>
      <c r="F52" s="249">
        <v>16692423</v>
      </c>
      <c r="G52" s="249">
        <v>16165404</v>
      </c>
      <c r="H52" s="285">
        <v>15548474</v>
      </c>
      <c r="I52" s="249">
        <v>14884324</v>
      </c>
      <c r="J52" s="249">
        <v>15228261</v>
      </c>
      <c r="L52" t="s">
        <v>4</v>
      </c>
    </row>
    <row r="53" spans="1:12" ht="15.75" x14ac:dyDescent="0.25">
      <c r="A53" s="236"/>
      <c r="B53" s="248" t="s">
        <v>4</v>
      </c>
      <c r="C53" s="236"/>
      <c r="D53" s="155"/>
      <c r="E53" s="155"/>
      <c r="F53" s="155"/>
      <c r="G53" s="155"/>
      <c r="H53" s="286"/>
      <c r="I53" s="155"/>
      <c r="J53" s="155"/>
    </row>
    <row r="54" spans="1:12" ht="33.75" customHeight="1" x14ac:dyDescent="0.4">
      <c r="A54" s="377" t="s">
        <v>193</v>
      </c>
      <c r="B54" s="377"/>
      <c r="C54" s="377"/>
      <c r="D54" s="377"/>
      <c r="E54" s="250">
        <f t="shared" ref="E54:J54" si="5">SUM(E50-E52)</f>
        <v>12517753</v>
      </c>
      <c r="F54" s="250">
        <f t="shared" si="5"/>
        <v>17825348</v>
      </c>
      <c r="G54" s="250">
        <f t="shared" si="5"/>
        <v>40008609</v>
      </c>
      <c r="H54" s="287">
        <f t="shared" si="5"/>
        <v>71955613</v>
      </c>
      <c r="I54" s="250">
        <f t="shared" si="5"/>
        <v>66374659</v>
      </c>
      <c r="J54" s="250">
        <f t="shared" si="5"/>
        <v>59291044</v>
      </c>
    </row>
    <row r="55" spans="1:12" ht="15.75" x14ac:dyDescent="0.25">
      <c r="A55" s="236"/>
      <c r="B55" s="248"/>
      <c r="C55" s="236"/>
      <c r="D55" s="155"/>
      <c r="E55" s="155"/>
      <c r="F55" s="155"/>
      <c r="G55" s="155" t="s">
        <v>4</v>
      </c>
      <c r="H55" s="155"/>
      <c r="I55" s="155"/>
      <c r="J55" s="155"/>
    </row>
    <row r="56" spans="1:12" x14ac:dyDescent="0.25">
      <c r="E56" s="295">
        <f t="shared" ref="E56:J56" si="6">SUM(E54/E38)</f>
        <v>0.22221276050801914</v>
      </c>
      <c r="F56" s="295">
        <f t="shared" si="6"/>
        <v>0.31880637218272778</v>
      </c>
      <c r="G56" s="295">
        <f t="shared" si="6"/>
        <v>0.69786701157601205</v>
      </c>
      <c r="H56" s="295">
        <f t="shared" si="6"/>
        <v>1.2342129420536858</v>
      </c>
      <c r="I56" s="295">
        <f t="shared" si="6"/>
        <v>1.118794411625651</v>
      </c>
      <c r="J56" s="295">
        <f t="shared" si="6"/>
        <v>0.99524640148133836</v>
      </c>
    </row>
    <row r="57" spans="1:12" x14ac:dyDescent="0.25">
      <c r="G57" t="s">
        <v>4</v>
      </c>
    </row>
    <row r="58" spans="1:12" ht="45" x14ac:dyDescent="0.25">
      <c r="J58" s="203" t="s">
        <v>262</v>
      </c>
    </row>
  </sheetData>
  <mergeCells count="6">
    <mergeCell ref="A4:G4"/>
    <mergeCell ref="A54:D54"/>
    <mergeCell ref="A1:J1"/>
    <mergeCell ref="A2:J2"/>
    <mergeCell ref="A3:J3"/>
    <mergeCell ref="A45:D45"/>
  </mergeCells>
  <pageMargins left="0.25" right="0.25" top="0.75" bottom="0.75" header="0.3" footer="0.3"/>
  <pageSetup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1" sqref="F21"/>
    </sheetView>
  </sheetViews>
  <sheetFormatPr defaultRowHeight="15" x14ac:dyDescent="0.25"/>
  <cols>
    <col min="3" max="3" width="12.7109375" bestFit="1" customWidth="1"/>
    <col min="4" max="5" width="14.85546875" bestFit="1" customWidth="1"/>
    <col min="6" max="6" width="12.7109375" bestFit="1" customWidth="1"/>
    <col min="7" max="7" width="12.42578125" bestFit="1" customWidth="1"/>
    <col min="8" max="8" width="10.85546875" bestFit="1" customWidth="1"/>
    <col min="9" max="9" width="12.7109375" bestFit="1" customWidth="1"/>
  </cols>
  <sheetData>
    <row r="1" spans="1:9" x14ac:dyDescent="0.25">
      <c r="A1" s="253"/>
      <c r="B1" s="253" t="s">
        <v>201</v>
      </c>
      <c r="C1" s="253" t="s">
        <v>202</v>
      </c>
      <c r="D1" s="253" t="s">
        <v>143</v>
      </c>
      <c r="E1" s="253" t="s">
        <v>143</v>
      </c>
      <c r="F1" s="253" t="s">
        <v>203</v>
      </c>
      <c r="G1" s="253" t="s">
        <v>203</v>
      </c>
      <c r="H1" s="253" t="s">
        <v>203</v>
      </c>
      <c r="I1" s="253"/>
    </row>
    <row r="2" spans="1:9" x14ac:dyDescent="0.25">
      <c r="A2" s="253" t="s">
        <v>204</v>
      </c>
      <c r="B2" s="253" t="s">
        <v>205</v>
      </c>
      <c r="C2" s="253" t="s">
        <v>206</v>
      </c>
      <c r="D2" s="253" t="s">
        <v>207</v>
      </c>
      <c r="E2" s="253" t="s">
        <v>208</v>
      </c>
      <c r="F2" s="253" t="s">
        <v>209</v>
      </c>
      <c r="G2" s="253" t="s">
        <v>210</v>
      </c>
      <c r="H2" s="253" t="s">
        <v>211</v>
      </c>
      <c r="I2" s="253"/>
    </row>
    <row r="3" spans="1:9" x14ac:dyDescent="0.25">
      <c r="A3" s="253" t="s">
        <v>212</v>
      </c>
      <c r="B3" s="253"/>
      <c r="C3" s="254">
        <v>6457555.3300000001</v>
      </c>
      <c r="D3" s="254">
        <v>7671500</v>
      </c>
      <c r="E3" s="254">
        <v>7671500</v>
      </c>
      <c r="F3" s="254">
        <v>6963000</v>
      </c>
      <c r="G3" s="253"/>
      <c r="H3" s="253"/>
      <c r="I3" s="254">
        <v>6963000</v>
      </c>
    </row>
    <row r="4" spans="1:9" x14ac:dyDescent="0.25">
      <c r="A4" s="253" t="s">
        <v>213</v>
      </c>
      <c r="B4" s="253"/>
      <c r="C4" s="254">
        <v>76241.850000000006</v>
      </c>
      <c r="D4" s="254">
        <v>76250</v>
      </c>
      <c r="E4" s="254">
        <v>76250</v>
      </c>
      <c r="F4" s="254">
        <v>85000</v>
      </c>
      <c r="G4" s="253"/>
      <c r="H4" s="253"/>
      <c r="I4" s="254">
        <v>85000</v>
      </c>
    </row>
    <row r="5" spans="1:9" x14ac:dyDescent="0.25">
      <c r="A5" s="253" t="s">
        <v>214</v>
      </c>
      <c r="B5" s="253"/>
      <c r="C5" s="254">
        <v>6620621.5800000001</v>
      </c>
      <c r="D5" s="254">
        <v>9449541</v>
      </c>
      <c r="E5" s="254">
        <v>9449541</v>
      </c>
      <c r="F5" s="254">
        <v>8932567</v>
      </c>
      <c r="G5" s="253"/>
      <c r="H5" s="253"/>
      <c r="I5" s="254">
        <v>8932567</v>
      </c>
    </row>
    <row r="6" spans="1:9" x14ac:dyDescent="0.25">
      <c r="A6" s="253" t="s">
        <v>215</v>
      </c>
      <c r="B6" s="253"/>
      <c r="C6" s="254">
        <v>12094.36</v>
      </c>
      <c r="D6" s="253"/>
      <c r="E6" s="253"/>
      <c r="F6" s="253"/>
      <c r="G6" s="253"/>
      <c r="H6" s="253"/>
      <c r="I6" s="254">
        <v>0</v>
      </c>
    </row>
    <row r="7" spans="1:9" x14ac:dyDescent="0.25">
      <c r="A7" s="253" t="s">
        <v>216</v>
      </c>
      <c r="B7" s="253"/>
      <c r="C7" s="254">
        <v>13166513.119999999</v>
      </c>
      <c r="D7" s="254">
        <v>17197291</v>
      </c>
      <c r="E7" s="254">
        <v>17197291</v>
      </c>
      <c r="F7" s="254">
        <v>15980567</v>
      </c>
      <c r="G7" s="253"/>
      <c r="H7" s="253"/>
      <c r="I7" s="254">
        <v>15980567</v>
      </c>
    </row>
    <row r="8" spans="1:9" x14ac:dyDescent="0.25">
      <c r="A8" s="253" t="s">
        <v>217</v>
      </c>
      <c r="B8" s="253"/>
      <c r="C8" s="254">
        <v>13166513.119999999</v>
      </c>
      <c r="D8" s="254">
        <v>17197291</v>
      </c>
      <c r="E8" s="254">
        <v>17197291</v>
      </c>
      <c r="F8" s="254">
        <v>15980567</v>
      </c>
      <c r="G8" s="253"/>
      <c r="H8" s="253"/>
      <c r="I8" s="254">
        <v>15980567</v>
      </c>
    </row>
    <row r="9" spans="1:9" x14ac:dyDescent="0.25">
      <c r="A9" s="253" t="s">
        <v>218</v>
      </c>
      <c r="B9" s="253"/>
      <c r="C9" s="254">
        <v>5786409.04</v>
      </c>
      <c r="D9" s="254">
        <v>5879781</v>
      </c>
      <c r="E9" s="254">
        <v>5879781</v>
      </c>
      <c r="F9" s="253"/>
      <c r="G9" s="254">
        <v>5938436</v>
      </c>
      <c r="H9" s="254">
        <v>112015</v>
      </c>
      <c r="I9" s="254">
        <v>6050451</v>
      </c>
    </row>
    <row r="10" spans="1:9" x14ac:dyDescent="0.25">
      <c r="A10" s="253" t="s">
        <v>219</v>
      </c>
      <c r="B10" s="253"/>
      <c r="C10" s="254">
        <v>203011.75</v>
      </c>
      <c r="D10" s="254">
        <v>821750</v>
      </c>
      <c r="E10" s="254">
        <v>708558.87</v>
      </c>
      <c r="F10" s="254">
        <v>230500</v>
      </c>
      <c r="G10" s="253"/>
      <c r="H10" s="253"/>
      <c r="I10" s="254">
        <v>230500</v>
      </c>
    </row>
    <row r="11" spans="1:9" x14ac:dyDescent="0.25">
      <c r="A11" s="253" t="s">
        <v>220</v>
      </c>
      <c r="B11" s="253"/>
      <c r="C11" s="254">
        <v>7306758.0700000003</v>
      </c>
      <c r="D11" s="254">
        <v>8989006</v>
      </c>
      <c r="E11" s="254">
        <v>9005414.1300000008</v>
      </c>
      <c r="F11" s="254">
        <v>8870067</v>
      </c>
      <c r="G11" s="253"/>
      <c r="H11" s="253"/>
      <c r="I11" s="254">
        <v>8870067</v>
      </c>
    </row>
    <row r="12" spans="1:9" x14ac:dyDescent="0.25">
      <c r="A12" s="253" t="s">
        <v>221</v>
      </c>
      <c r="B12" s="253"/>
      <c r="C12" s="254">
        <v>41096.78</v>
      </c>
      <c r="D12" s="254">
        <v>30500</v>
      </c>
      <c r="E12" s="254">
        <v>67676</v>
      </c>
      <c r="F12" s="254">
        <v>58550</v>
      </c>
      <c r="G12" s="253"/>
      <c r="H12" s="253"/>
      <c r="I12" s="254">
        <v>58550</v>
      </c>
    </row>
    <row r="13" spans="1:9" x14ac:dyDescent="0.25">
      <c r="A13" s="253" t="s">
        <v>222</v>
      </c>
      <c r="B13" s="253"/>
      <c r="C13" s="254">
        <v>997782.37</v>
      </c>
      <c r="D13" s="254">
        <v>350000</v>
      </c>
      <c r="E13" s="254">
        <v>367607</v>
      </c>
      <c r="F13" s="254">
        <v>432017</v>
      </c>
      <c r="G13" s="253"/>
      <c r="H13" s="253"/>
      <c r="I13" s="254">
        <v>432017</v>
      </c>
    </row>
    <row r="14" spans="1:9" x14ac:dyDescent="0.25">
      <c r="A14" s="253" t="s">
        <v>223</v>
      </c>
      <c r="B14" s="253"/>
      <c r="C14" s="254">
        <v>14335058.01</v>
      </c>
      <c r="D14" s="254">
        <v>16071037</v>
      </c>
      <c r="E14" s="254">
        <v>16029037</v>
      </c>
      <c r="F14" s="254">
        <v>9591134</v>
      </c>
      <c r="G14" s="254">
        <v>5938436</v>
      </c>
      <c r="H14" s="254">
        <v>112015</v>
      </c>
      <c r="I14" s="254">
        <v>15641585</v>
      </c>
    </row>
    <row r="15" spans="1:9" x14ac:dyDescent="0.25">
      <c r="A15" s="253" t="s">
        <v>224</v>
      </c>
      <c r="B15" s="253"/>
      <c r="C15" s="254">
        <v>170320.35</v>
      </c>
      <c r="D15" s="254">
        <v>188534</v>
      </c>
      <c r="E15" s="254">
        <v>188534</v>
      </c>
      <c r="F15" s="253"/>
      <c r="G15" s="254">
        <v>242991</v>
      </c>
      <c r="H15" s="253"/>
      <c r="I15" s="254">
        <v>242991</v>
      </c>
    </row>
    <row r="16" spans="1:9" x14ac:dyDescent="0.25">
      <c r="A16" s="253" t="s">
        <v>225</v>
      </c>
      <c r="B16" s="253"/>
      <c r="C16" s="254">
        <v>170320.35</v>
      </c>
      <c r="D16" s="254">
        <v>188534</v>
      </c>
      <c r="E16" s="254">
        <v>188534</v>
      </c>
      <c r="F16" s="253"/>
      <c r="G16" s="254">
        <v>242991</v>
      </c>
      <c r="H16" s="253"/>
      <c r="I16" s="254">
        <v>242991</v>
      </c>
    </row>
    <row r="17" spans="1:9" x14ac:dyDescent="0.25">
      <c r="A17" s="253" t="s">
        <v>226</v>
      </c>
      <c r="B17" s="253"/>
      <c r="C17" s="254">
        <v>14505378.359999999</v>
      </c>
      <c r="D17" s="254">
        <v>16259571</v>
      </c>
      <c r="E17" s="254">
        <v>16217571</v>
      </c>
      <c r="F17" s="254">
        <v>9591134</v>
      </c>
      <c r="G17" s="254">
        <v>6181427</v>
      </c>
      <c r="H17" s="254">
        <v>112015</v>
      </c>
      <c r="I17" s="254">
        <v>15884576</v>
      </c>
    </row>
    <row r="18" spans="1:9" x14ac:dyDescent="0.25">
      <c r="A18" s="253" t="s">
        <v>227</v>
      </c>
      <c r="B18" s="253"/>
      <c r="C18" s="254">
        <v>-1338865.24</v>
      </c>
      <c r="D18" s="254">
        <v>937720</v>
      </c>
      <c r="E18" s="254">
        <v>979720</v>
      </c>
      <c r="F18" s="254">
        <v>6389433</v>
      </c>
      <c r="G18" s="254">
        <v>-6181427</v>
      </c>
      <c r="H18" s="254">
        <v>-112015</v>
      </c>
      <c r="I18" s="254">
        <v>95991</v>
      </c>
    </row>
    <row r="19" spans="1:9" x14ac:dyDescent="0.25">
      <c r="A19" s="253" t="s">
        <v>228</v>
      </c>
      <c r="B19" s="253">
        <v>714</v>
      </c>
      <c r="C19" s="253"/>
      <c r="D19" s="253"/>
      <c r="E19" s="253"/>
      <c r="F19" s="253"/>
      <c r="G19" s="253"/>
      <c r="H19" s="253"/>
      <c r="I19" s="2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Proposed Budget - G,DS, SN</vt:lpstr>
      <vt:lpstr>General</vt:lpstr>
      <vt:lpstr>Comparison</vt:lpstr>
      <vt:lpstr>Object</vt:lpstr>
      <vt:lpstr>PIC</vt:lpstr>
      <vt:lpstr>School Nutrition</vt:lpstr>
      <vt:lpstr>Debt Service Proposed</vt:lpstr>
      <vt:lpstr>Debt Service</vt:lpstr>
      <vt:lpstr>Sheet1</vt:lpstr>
      <vt:lpstr>Comparison!Print_Area</vt:lpstr>
      <vt:lpstr>'Debt Service Proposed'!Print_Area</vt:lpstr>
      <vt:lpstr>General!Print_Area</vt:lpstr>
      <vt:lpstr>Object!Print_Area</vt:lpstr>
      <vt:lpstr>PIC!Print_Area</vt:lpstr>
      <vt:lpstr>'School Nutrition'!Print_Area</vt:lpstr>
      <vt:lpstr>Comparison!Print_Titles</vt:lpstr>
      <vt:lpstr>'Debt Service Proposed'!Print_Titles</vt:lpstr>
      <vt:lpstr>General!Print_Titles</vt:lpstr>
      <vt:lpstr>'School Nutrition'!Print_Titles</vt:lpstr>
    </vt:vector>
  </TitlesOfParts>
  <Company>Grapevine-Colleyville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Mansfield ISD</dc:creator>
  <cp:lastModifiedBy>Windows User</cp:lastModifiedBy>
  <cp:lastPrinted>2019-06-20T13:38:59Z</cp:lastPrinted>
  <dcterms:created xsi:type="dcterms:W3CDTF">2011-06-06T20:27:20Z</dcterms:created>
  <dcterms:modified xsi:type="dcterms:W3CDTF">2019-11-19T18:45:44Z</dcterms:modified>
</cp:coreProperties>
</file>